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256" windowWidth="19520" windowHeight="14340" tabRatio="770" activeTab="0"/>
  </bookViews>
  <sheets>
    <sheet name="GreywaterDataAndCalcs" sheetId="1" r:id="rId1"/>
    <sheet name="GWDiseasePotential" sheetId="2" r:id="rId2"/>
    <sheet name="Fecal Levels Standards &amp; Calcs" sheetId="3" r:id="rId3"/>
    <sheet name="Fecal Levels Chart-Log Scale" sheetId="4" r:id="rId4"/>
    <sheet name="Fecal Levels Chart-Linear Scale" sheetId="5" r:id="rId5"/>
    <sheet name="ColiformMath" sheetId="6" r:id="rId6"/>
    <sheet name="Sheet2" sheetId="7" state="hidden" r:id="rId7"/>
    <sheet name="Sheet3" sheetId="8" state="hidden" r:id="rId8"/>
  </sheets>
  <definedNames>
    <definedName name="_xlnm.Print_Area" localSheetId="0">'GreywaterDataAndCalcs'!$A$1:$F$60</definedName>
  </definedNames>
  <calcPr fullCalcOnLoad="1"/>
</workbook>
</file>

<file path=xl/sharedStrings.xml><?xml version="1.0" encoding="utf-8"?>
<sst xmlns="http://schemas.openxmlformats.org/spreadsheetml/2006/main" count="407" uniqueCount="284">
  <si>
    <t xml:space="preserve">http://www.sdascience.org/docs/Graywater_Habits_&amp;_Practices_Survey.pdf </t>
  </si>
  <si>
    <t xml:space="preserve">p.  14 A quarter page mail survey was sent to a nationally representative sample of 100,000 households, utilizing the Home Testing Institute monthly consumer omnibus, Insta-Vue...Total usable returns were 61,377 at a return rate of 61%... </t>
  </si>
  <si>
    <t xml:space="preserve">ReWater Systems, 70±, Bill Wilson + Kevin 20±, Ted Adams, 5± Art Ludwig, 2±…rest are a guess. I'd say lower bound is 100 systems, upper is 500 systems. </t>
  </si>
  <si>
    <t>(this assumes the proportion of greywater use has not changed significantly since 1999. Using the 1999 population of 33,418,380, the number of illegal systems was about 9% lower).</t>
  </si>
  <si>
    <t xml:space="preserve">The numbers were jiggled so the units were even orders of magnetude.  In some cases the number used was close to the middle of the range, </t>
  </si>
  <si>
    <t>People struck by lightning in the US, per year</t>
  </si>
  <si>
    <t>http://www.nsc.org/research/odds.aspx</t>
  </si>
  <si>
    <t>National saftey council</t>
  </si>
  <si>
    <t>People drowned in bathtubs</t>
  </si>
  <si>
    <t>http://www.lightningsafety.noaa.gov/medical.htm</t>
  </si>
  <si>
    <t>(this assumes the proportion of greywater use has not changed significantly since 1999. Using the 1999 population of 33,418,380, the number of illegal systems was 1,786,598).</t>
  </si>
  <si>
    <t>System user years-CA</t>
  </si>
  <si>
    <t>OK for boating, fishing</t>
  </si>
  <si>
    <t>Calculated from diluting average daily fecal production in 25 l (6.6  gallons, or 4 low flow flushes) of toilet flush water</t>
  </si>
  <si>
    <t>Ratios</t>
  </si>
  <si>
    <t>Water 1/water 2</t>
  </si>
  <si>
    <t>Numical ratio</t>
  </si>
  <si>
    <t>Comment</t>
  </si>
  <si>
    <t>Calculation; population * percent greywater users</t>
  </si>
  <si>
    <t>US census bureau</t>
  </si>
  <si>
    <t>from above</t>
  </si>
  <si>
    <t>calculation</t>
  </si>
  <si>
    <t>Coliform standards, conversions, examples</t>
  </si>
  <si>
    <t xml:space="preserve">Conventional </t>
  </si>
  <si>
    <t>Approximate conversion</t>
  </si>
  <si>
    <t>units (under-</t>
  </si>
  <si>
    <t>New novice user-friendly units</t>
  </si>
  <si>
    <t xml:space="preserve"> to units understandable</t>
  </si>
  <si>
    <t>standable only</t>
  </si>
  <si>
    <t xml:space="preserve"> by other scientists</t>
  </si>
  <si>
    <t>x more feces in combined sewage than greywater (realistic calculation)</t>
  </si>
  <si>
    <t>Combined sewage/ buttwipe with greywater</t>
  </si>
  <si>
    <t>shellfish growing waters</t>
  </si>
  <si>
    <t>Full contact/swimming. Many bathtubs probably are out of compliance</t>
  </si>
  <si>
    <t>Partial contact/boating, same as for treated sewage discharge</t>
  </si>
  <si>
    <t>Sample measurements</t>
  </si>
  <si>
    <t>Typical first world standards</t>
  </si>
  <si>
    <t>For drinking water coliforms are to be less than 1 per 100 ml</t>
  </si>
  <si>
    <t>First flush puddle of urban runoffin center of Mexican village</t>
  </si>
  <si>
    <t>High reading from Arroyo Burro beach in Santa Barbara.</t>
  </si>
  <si>
    <t>First flush of river in Michoacan, Mexico, after seven month dry season</t>
  </si>
  <si>
    <t>assumed: an average buttwipe is 0.1 gram (extensive research and literature search revealed this to be true-just kidding.  The one buttwipe measured was 0.13 grams.</t>
  </si>
  <si>
    <t>assumed: bowl movement is 1000g (one source gave 1113g as the average daily production of feces)</t>
  </si>
  <si>
    <t>assumed: a bath is 100 L; this is about 8" of water in an average bathtub.  Full capacity is about twice this, depending on the displacement of the bather(s).</t>
  </si>
  <si>
    <t>g feces/</t>
  </si>
  <si>
    <t>to microbiologists)</t>
  </si>
  <si>
    <t>Buttwipes/</t>
  </si>
  <si>
    <t>Turds per</t>
  </si>
  <si>
    <t>mg feces</t>
  </si>
  <si>
    <t>swimming pool</t>
  </si>
  <si>
    <t>Fecal coliforms/</t>
  </si>
  <si>
    <t>swimming</t>
  </si>
  <si>
    <t xml:space="preserve"> /m3 water</t>
  </si>
  <si>
    <t>m3 h20</t>
  </si>
  <si>
    <t xml:space="preserve"> =g feces/</t>
  </si>
  <si>
    <t>100 ml</t>
  </si>
  <si>
    <t xml:space="preserve"> pool</t>
  </si>
  <si>
    <t>Bathtub</t>
  </si>
  <si>
    <t>bottle</t>
  </si>
  <si>
    <t>ppb feces</t>
  </si>
  <si>
    <t>ppm feces</t>
  </si>
  <si>
    <t>100 m3</t>
  </si>
  <si>
    <t>Conversions</t>
  </si>
  <si>
    <t>Feces</t>
  </si>
  <si>
    <t>by definition</t>
  </si>
  <si>
    <t>http://quickfacts.census.gov/qfd/states/06000.html</t>
  </si>
  <si>
    <t>US census bureau</t>
  </si>
  <si>
    <t>surface water in watershed for unfiltered drinking</t>
  </si>
  <si>
    <t>Traces on clothes, hands</t>
  </si>
  <si>
    <t xml:space="preserve"> Estimate (high?)</t>
  </si>
  <si>
    <t>Infant production</t>
  </si>
  <si>
    <t>Calculated from adult production by body weight</t>
  </si>
  <si>
    <t xml:space="preserve">Concentrations of fecal matter calculated and measured, allowed standards and calculated </t>
  </si>
  <si>
    <t>Greywater users</t>
  </si>
  <si>
    <t>Standard in most of developed world is less than or equal to 1 mpn/100ml or 1 pbb (entered as 1 so log chart will work)</t>
  </si>
  <si>
    <t>OK for surface water drinking supply</t>
  </si>
  <si>
    <t>Common standard</t>
  </si>
  <si>
    <t>OK to swim</t>
  </si>
  <si>
    <t>Common standard for natural surface waters</t>
  </si>
  <si>
    <t>Estimate; in general, older infrastructure has more greywater use, approaching 100% with rural 70+ year old buildings</t>
  </si>
  <si>
    <t>Average number of greywater users</t>
  </si>
  <si>
    <t>1949-2009</t>
  </si>
  <si>
    <t>average of 2009 and 1950 greywater users</t>
  </si>
  <si>
    <t>Years from 1949-2009</t>
  </si>
  <si>
    <t>Annual Ave Totals</t>
  </si>
  <si>
    <t>Notifiable Disease Potential in GW</t>
  </si>
  <si>
    <t xml:space="preserve"> Botulism: </t>
  </si>
  <si>
    <t xml:space="preserve">    foodborne </t>
  </si>
  <si>
    <t xml:space="preserve">    infant </t>
  </si>
  <si>
    <t xml:space="preserve">    other(wound &amp; unspecified) </t>
  </si>
  <si>
    <t xml:space="preserve"> Brucellosis </t>
  </si>
  <si>
    <t xml:space="preserve"> Chancroid </t>
  </si>
  <si>
    <t xml:space="preserve"> Cholera </t>
  </si>
  <si>
    <t xml:space="preserve"> Cryptosporidiosis</t>
  </si>
  <si>
    <t xml:space="preserve">in others it is off the average by 30% or more.  However, the ranges are huge; a few orders of magnetude </t>
  </si>
  <si>
    <t>1 swimming pool = 1000 bathtubs=100,000 bottles</t>
  </si>
  <si>
    <t>assumed:10 million fecal coliforms per gram of wet feces (dog=23 million, human 13 million, pig 3.3 million, cow a quarter million...)</t>
  </si>
  <si>
    <t>assumed: 100 m3 water per swimming pool (a typical swimming pool is more like 75 m3</t>
  </si>
  <si>
    <t>Ratio of unpermitted to permitted systems</t>
  </si>
  <si>
    <t>calculation</t>
  </si>
  <si>
    <t>Percent of permitted systems</t>
  </si>
  <si>
    <t>Greywater system permit compliance rate in California</t>
  </si>
  <si>
    <t>Reports of graywater-transmitted illness in US</t>
  </si>
  <si>
    <t>Reports of greywater-transmitted illness</t>
  </si>
  <si>
    <t>18 years of greywater policy discussion, Letter from CDC</t>
  </si>
  <si>
    <t>Average of three above</t>
  </si>
  <si>
    <t>Calcuated from diluting traces above in 100 l (about 25 gallons) per capita per day of greywater (actual greywater production is almost twice as much)</t>
  </si>
  <si>
    <t>Greywater w/ calculated buttwipe</t>
  </si>
  <si>
    <t>Calcuated from diluting (ahem!) buttwipe above in 100 l (about 25 gallons) per capita per day of greywater. This is how much feces you'd expect if people showered rather than wiping.</t>
  </si>
  <si>
    <t>Greywater average from study</t>
  </si>
  <si>
    <t>Average from Arizona study</t>
  </si>
  <si>
    <t>Greywater average of three above</t>
  </si>
  <si>
    <t>Diluting the amount of fecal matter expected to be shed into greywater by it's volume yeilds water that is not OK for swimming.</t>
  </si>
  <si>
    <t>Natural surface waters OK for boating/ fishing/ Average greywater</t>
  </si>
  <si>
    <t>Diluting the amount of fecal matter expected to be shed into greywater by it's volume yeilds water that is OK for boating.</t>
  </si>
  <si>
    <t>Combined sewage/ greywater with fecal traces</t>
  </si>
  <si>
    <t>Calculated from diluting average fecal production in 200 l (53 gallons) of combined wastewater</t>
  </si>
  <si>
    <t>Toilet water</t>
  </si>
  <si>
    <t>Calculation; greywater users / people per household</t>
  </si>
  <si>
    <t>caculation; average greywater users * years</t>
  </si>
  <si>
    <t>www.census.gov/dmd/www/resapport/states/california.pdf</t>
  </si>
  <si>
    <t>US Census Bureau</t>
  </si>
  <si>
    <t>CIA estimate</t>
  </si>
  <si>
    <t>https://www.cia.gov/library/publications/the-world-factbook/print/us.html</t>
  </si>
  <si>
    <t>NPG historical data</t>
  </si>
  <si>
    <t>http://www.npg.org/facts/us_historical_pops.htm</t>
  </si>
  <si>
    <t>Possible reading in raw sewage</t>
  </si>
  <si>
    <t>off the top of the scale</t>
  </si>
  <si>
    <t>Pure feces</t>
  </si>
  <si>
    <t>Unit derivation note for the scientifically inclined:</t>
  </si>
  <si>
    <t>Greywater systems</t>
  </si>
  <si>
    <t>Relative Health Hazard of Different Waters</t>
  </si>
  <si>
    <t>© 2000-2009 Oasis Design. May be reproduced with credit and an e mail letting us know http://www.oasisdesign.net/about/contact/feedback.htm</t>
  </si>
  <si>
    <t>Absolute quantities of fecal matter</t>
  </si>
  <si>
    <t>Location/source</t>
  </si>
  <si>
    <t>Feces per capita per day (mg)</t>
  </si>
  <si>
    <t xml:space="preserve">In toilet </t>
  </si>
  <si>
    <t>Average adult human production, from various studies</t>
  </si>
  <si>
    <t>On toilet paper</t>
  </si>
  <si>
    <t xml:space="preserve"> Average, measured</t>
  </si>
  <si>
    <t>NOAA lightening safety</t>
  </si>
  <si>
    <t>Greywater has five thousandths of one percent of the fecal matter that toilet water has.</t>
  </si>
  <si>
    <t>Combined sewage/ diaper wash water</t>
  </si>
  <si>
    <t>California Greywater Policy Data and Calculations</t>
  </si>
  <si>
    <t>date</t>
  </si>
  <si>
    <t>source</t>
  </si>
  <si>
    <t>URL, comment</t>
  </si>
  <si>
    <t>Greywater system exposure in California</t>
  </si>
  <si>
    <t>Population of caliornia</t>
  </si>
  <si>
    <t>Households with greywater systems</t>
  </si>
  <si>
    <t>Soap and Detergent Manufacturer's Association Graywater awareness and usage study</t>
  </si>
  <si>
    <t>Total cases reported annually</t>
  </si>
  <si>
    <t xml:space="preserve">Disease  </t>
  </si>
  <si>
    <t>Totals</t>
  </si>
  <si>
    <t xml:space="preserve"> Anthrax </t>
  </si>
  <si>
    <t xml:space="preserve">- </t>
  </si>
  <si>
    <t xml:space="preserve">    other serogroup </t>
  </si>
  <si>
    <t xml:space="preserve">    unknown serogroup </t>
  </si>
  <si>
    <t xml:space="preserve"> Mumps </t>
  </si>
  <si>
    <t xml:space="preserve"> Novel influenza A infection virus </t>
  </si>
  <si>
    <t xml:space="preserve"> Plague </t>
  </si>
  <si>
    <t xml:space="preserve"> Poliomyelitis, paralytic </t>
  </si>
  <si>
    <t>Feces concentration</t>
  </si>
  <si>
    <t>Description</t>
  </si>
  <si>
    <t>Water Type</t>
  </si>
  <si>
    <t>MPN/100mL fecal coliform =PPB=mg/m3 feces…see http://www.oasisdesign.net/water/quality/coliform.htm for more on how  these units relate to eachother</t>
  </si>
  <si>
    <t>OK to drink</t>
  </si>
  <si>
    <t>System-user-years of greywater exposure, not counting neighbors and visitors.</t>
  </si>
  <si>
    <t>Greywater users</t>
  </si>
  <si>
    <t>Greywater users</t>
  </si>
  <si>
    <t>Historic greywater users</t>
  </si>
  <si>
    <t>Datum</t>
  </si>
  <si>
    <t>What</t>
  </si>
  <si>
    <t>Date</t>
  </si>
  <si>
    <t>Source</t>
  </si>
  <si>
    <t xml:space="preserve"> Poliovirus infection, nonparalytic § </t>
  </si>
  <si>
    <t xml:space="preserve"> Psittacosis § </t>
  </si>
  <si>
    <t xml:space="preserve"> Q fever total §,§§§: </t>
  </si>
  <si>
    <t xml:space="preserve">    acute </t>
  </si>
  <si>
    <t xml:space="preserve">    chronic </t>
  </si>
  <si>
    <t xml:space="preserve"> Rabies, human </t>
  </si>
  <si>
    <t xml:space="preserve"> in fecal coliforms per gram of feces for different organisms; the presumed indicator, so an imprecision of even a factor of two is of little practical consequence.</t>
  </si>
  <si>
    <t>buttwipes/</t>
  </si>
  <si>
    <t xml:space="preserve"> =.1 g/</t>
  </si>
  <si>
    <t>.1 g/</t>
  </si>
  <si>
    <t xml:space="preserve"> =1000 g feces/</t>
  </si>
  <si>
    <t>0.1g/</t>
  </si>
  <si>
    <t>100m3</t>
  </si>
  <si>
    <t>100 L</t>
  </si>
  <si>
    <t>1L</t>
  </si>
  <si>
    <t>1 turd=10,000 buttwipes</t>
  </si>
  <si>
    <t>Greywater system exposure in United States</t>
  </si>
  <si>
    <t>Population of US</t>
  </si>
  <si>
    <t>http://www.sdascience.org/index.php?option=com_content&amp;task=view&amp;id=96&amp;Itemid=131</t>
  </si>
  <si>
    <t>System user years-US</t>
  </si>
  <si>
    <t>Permitted greywater systems</t>
  </si>
  <si>
    <t>1992-2009</t>
  </si>
  <si>
    <t>Greywater w/ calculated trace</t>
  </si>
  <si>
    <t xml:space="preserve">    Ehrlichia ewingii </t>
  </si>
  <si>
    <t xml:space="preserve">    Anaplasma phagocytophilum </t>
  </si>
  <si>
    <t xml:space="preserve">    undetermined </t>
  </si>
  <si>
    <t xml:space="preserve"> Giardiasis</t>
  </si>
  <si>
    <t xml:space="preserve"> Haemophilus influenzae ††,</t>
  </si>
  <si>
    <t xml:space="preserve">invasive disease (age &lt;5 yrs): </t>
  </si>
  <si>
    <t xml:space="preserve">    nonserotype B </t>
  </si>
  <si>
    <t xml:space="preserve">    unknown serotype </t>
  </si>
  <si>
    <t xml:space="preserve"> Hansen disease § </t>
  </si>
  <si>
    <t xml:space="preserve"> Hantavirus pulmonary syndrome § </t>
  </si>
  <si>
    <t xml:space="preserve"> Hemolytic uremic syndrome, post-diarrheal § </t>
  </si>
  <si>
    <t xml:space="preserve"> Hepatitis A</t>
  </si>
  <si>
    <t>Average greywater/ Natural surface waters OK for swimming</t>
  </si>
  <si>
    <t xml:space="preserve"> Vancomycin-intermediate Staphylococcus aureus § </t>
  </si>
  <si>
    <t xml:space="preserve"> Vancomycin-resistant Staphylococcus aureus § </t>
  </si>
  <si>
    <t xml:space="preserve"> Vibriosis (non-cholera Vibrio species infections) § </t>
  </si>
  <si>
    <t xml:space="preserve"> Yellow fever </t>
  </si>
  <si>
    <t>-</t>
  </si>
  <si>
    <t xml:space="preserve">    Ehrlichia chaffeensis </t>
  </si>
  <si>
    <t xml:space="preserve">    serotype B </t>
  </si>
  <si>
    <t xml:space="preserve"> Hepatitis C viral, acute </t>
  </si>
  <si>
    <t>Totals</t>
  </si>
  <si>
    <t>Source:  CDC Morbidity and Mortality Weekly Report</t>
  </si>
  <si>
    <t>extrapolation from 1999</t>
  </si>
  <si>
    <t>from above, extrapolation from 1999</t>
  </si>
  <si>
    <t>Total Cases</t>
  </si>
  <si>
    <t>in 2007</t>
  </si>
  <si>
    <t>Reportable GW Diseases, Potential &amp; Reported</t>
  </si>
  <si>
    <t>Note:  This is a back of the envelope-type calculation; the point is still valid if it is off by a factor of two or four</t>
  </si>
  <si>
    <t>People per household</t>
  </si>
  <si>
    <t xml:space="preserve"> Hepatitis B</t>
  </si>
  <si>
    <t xml:space="preserve"> HIV infection, pediatric (age &lt;13 yrs) §§ </t>
  </si>
  <si>
    <t>x more feces in combined sewage than greywater (calculation based on people showering w/o wiping)</t>
  </si>
  <si>
    <t>Notes:</t>
  </si>
  <si>
    <t xml:space="preserve">   http://academic.udayton.edu/health/syllabi/Bioterrorism/5DiseaseReport/PHLaw11.htm</t>
  </si>
  <si>
    <t>Typical level in chlorinated waters I've tested</t>
  </si>
  <si>
    <t>Level often found in water used untreated for drinking in third world</t>
  </si>
  <si>
    <t>Level in crystal clear Santa Ynez river water we swam in all day</t>
  </si>
  <si>
    <t>Combined sewage/ average greywater</t>
  </si>
  <si>
    <t>x more feces in combined sewage than greywater (average of calculated greywater and fecal indicator values from U of AZ study)</t>
  </si>
  <si>
    <t>Toilet water/ average greywater</t>
  </si>
  <si>
    <t xml:space="preserve"> Influenza-associated pediatric mortality §, ¶¶ </t>
  </si>
  <si>
    <t xml:space="preserve">N </t>
  </si>
  <si>
    <t xml:space="preserve"> Legionellosis</t>
  </si>
  <si>
    <t xml:space="preserve"> Listeriosis </t>
  </si>
  <si>
    <t>Greywater (diaper laundry)</t>
  </si>
  <si>
    <t>Diaper wash water 300 g feces (two days) in 120 l water</t>
  </si>
  <si>
    <t>Raw, combined sewage</t>
  </si>
  <si>
    <t>Typical value</t>
  </si>
  <si>
    <t>Oasis Design © Feb 24, 2009.  Check http://oasisdesign.net/greywater/law/california/index.htm#references for updates to this spreadsheet. May be reproduced if credit and notice of reproduction are given; oasis@oasisdesign.net</t>
  </si>
  <si>
    <t xml:space="preserve">   http://wonder.cdc.gov/mmwr/mmwr_reps.asp?mmwr_year=2008&amp;mmwr_week=52&amp;mmwr_table=1</t>
  </si>
  <si>
    <t xml:space="preserve">   This is probably conservative as sanitation standards have increased significantly in this time period.</t>
  </si>
  <si>
    <t>Est. 60 Years Cumulative Cases</t>
  </si>
  <si>
    <t>60yr cumulative estimate calculated by current #incidents / 300 million people * 225 million average population * 60 years</t>
  </si>
  <si>
    <t>Cases Linked to Graywater</t>
  </si>
  <si>
    <t>Possibility in Graywater</t>
  </si>
  <si>
    <t>Since 1925 all states have reported occurrences of certain infectious diseases to the United States Public Health Service.</t>
  </si>
  <si>
    <t xml:space="preserve"> Malaria</t>
  </si>
  <si>
    <t xml:space="preserve"> Measles *** </t>
  </si>
  <si>
    <t xml:space="preserve"> Meningococcal disease, invasive ††† : </t>
  </si>
  <si>
    <t xml:space="preserve">    A,C,Y, and W-135 </t>
  </si>
  <si>
    <t xml:space="preserve">    serogroup B </t>
  </si>
  <si>
    <t xml:space="preserve"> or</t>
  </si>
  <si>
    <t xml:space="preserve"> Rubella ¶¶¶ </t>
  </si>
  <si>
    <t xml:space="preserve"> Rubella, congenital syndrome </t>
  </si>
  <si>
    <t xml:space="preserve"> SARS CoV §, **** </t>
  </si>
  <si>
    <t xml:space="preserve"> Salmonellosis</t>
  </si>
  <si>
    <t xml:space="preserve"> Shigellosis</t>
  </si>
  <si>
    <t xml:space="preserve"> Smallpox § </t>
  </si>
  <si>
    <t xml:space="preserve"> Streptococcal toxic-shock syndrome § </t>
  </si>
  <si>
    <t xml:space="preserve"> Syphilis, congenital (age &lt;1 yr) </t>
  </si>
  <si>
    <t xml:space="preserve"> Tetanus </t>
  </si>
  <si>
    <t xml:space="preserve"> Toxic-shock syndrome (staphylococcal) § </t>
  </si>
  <si>
    <t xml:space="preserve"> Trichinellosis </t>
  </si>
  <si>
    <t xml:space="preserve"> Tularemia </t>
  </si>
  <si>
    <t xml:space="preserve"> Typhoid fever </t>
  </si>
  <si>
    <t xml:space="preserve"> Cyclosporiasis § </t>
  </si>
  <si>
    <t xml:space="preserve"> Diphtheria </t>
  </si>
  <si>
    <t xml:space="preserve"> Domestic arboviral diseases §, ¶ : </t>
  </si>
  <si>
    <t xml:space="preserve">    California serogroup </t>
  </si>
  <si>
    <t xml:space="preserve">    eastern equine </t>
  </si>
  <si>
    <t xml:space="preserve">    Powassan </t>
  </si>
  <si>
    <t xml:space="preserve">    St. Louis </t>
  </si>
  <si>
    <t xml:space="preserve">    western equine </t>
  </si>
  <si>
    <t xml:space="preserve"> E. coli, Shiga toxin-producing (STEC)</t>
  </si>
  <si>
    <t xml:space="preserve"> Ehrlichiosis/Anaplasmosis §,**: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</si>
</sst>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0"/>
    <numFmt numFmtId="170" formatCode="0.0%"/>
    <numFmt numFmtId="171" formatCode="0.000%"/>
    <numFmt numFmtId="172" formatCode="m/d/yyyy"/>
    <numFmt numFmtId="173" formatCode="0.000"/>
    <numFmt numFmtId="174" formatCode="0.00000"/>
    <numFmt numFmtId="175" formatCode="0.0000"/>
    <numFmt numFmtId="176" formatCode="0.0"/>
    <numFmt numFmtId="177" formatCode="General"/>
    <numFmt numFmtId="178" formatCode="#,##0"/>
  </numFmts>
  <fonts count="2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16" fillId="0" borderId="4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1" xfId="0" applyNumberForma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3" fontId="16" fillId="0" borderId="5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73" fontId="15" fillId="0" borderId="0" xfId="0" applyNumberFormat="1" applyFont="1" applyBorder="1" applyAlignment="1">
      <alignment/>
    </xf>
    <xf numFmtId="173" fontId="15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3" fontId="16" fillId="0" borderId="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173" fontId="16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1" fillId="0" borderId="19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1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0" fillId="0" borderId="19" xfId="0" applyNumberFormat="1" applyFon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8" fillId="0" borderId="16" xfId="20" applyBorder="1" applyAlignment="1" applyProtection="1">
      <alignment/>
      <protection/>
    </xf>
    <xf numFmtId="0" fontId="8" fillId="0" borderId="18" xfId="20" applyBorder="1" applyAlignment="1" applyProtection="1">
      <alignment/>
      <protection/>
    </xf>
    <xf numFmtId="0" fontId="8" fillId="0" borderId="20" xfId="20" applyBorder="1" applyAlignment="1" applyProtection="1">
      <alignment/>
      <protection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30949215"/>
        <c:axId val="25112004"/>
      </c:barChart>
      <c:catAx>
        <c:axId val="3094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112004"/>
        <c:crosses val="autoZero"/>
        <c:auto val="0"/>
        <c:lblOffset val="100"/>
        <c:tickLblSkip val="2"/>
        <c:noMultiLvlLbl val="0"/>
      </c:catAx>
      <c:valAx>
        <c:axId val="251120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9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57159477"/>
        <c:axId val="47012098"/>
      </c:barChart>
      <c:catAx>
        <c:axId val="57159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8"/>
        <c:crosses val="autoZero"/>
        <c:auto val="0"/>
        <c:lblOffset val="100"/>
        <c:tickLblSkip val="2"/>
        <c:noMultiLvlLbl val="0"/>
      </c:catAx>
      <c:valAx>
        <c:axId val="47012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9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ickfacts.census.gov/qfd/states/06000.html" TargetMode="External" /><Relationship Id="rId2" Type="http://schemas.openxmlformats.org/officeDocument/2006/relationships/hyperlink" Target="http://www.sdascience.org/docs/Graywater_Habits_&amp;_Practices_Survey.pdf" TargetMode="External" /><Relationship Id="rId3" Type="http://schemas.openxmlformats.org/officeDocument/2006/relationships/hyperlink" Target="http://quickfacts.census.gov/qfd/states/06000.html" TargetMode="External" /><Relationship Id="rId4" Type="http://schemas.openxmlformats.org/officeDocument/2006/relationships/hyperlink" Target="http://www.census.gov/dmd/www/resapport/states/california.pdf" TargetMode="External" /><Relationship Id="rId5" Type="http://schemas.openxmlformats.org/officeDocument/2006/relationships/hyperlink" Target="https://www.cia.gov/library/publications/the-world-factbook/print/us.html" TargetMode="External" /><Relationship Id="rId6" Type="http://schemas.openxmlformats.org/officeDocument/2006/relationships/hyperlink" Target="http://www.sdascience.org/index.php?option=com_content&amp;task=view&amp;id=96&amp;Itemid=131" TargetMode="External" /><Relationship Id="rId7" Type="http://schemas.openxmlformats.org/officeDocument/2006/relationships/hyperlink" Target="http://quickfacts.census.gov/qfd/states/06000.html" TargetMode="External" /><Relationship Id="rId8" Type="http://schemas.openxmlformats.org/officeDocument/2006/relationships/hyperlink" Target="http://www.npg.org/facts/us_historical_pops.htm" TargetMode="External" /><Relationship Id="rId9" Type="http://schemas.openxmlformats.org/officeDocument/2006/relationships/hyperlink" Target="http://www.lightningsafety.noaa.gov/medical.htm" TargetMode="External" /><Relationship Id="rId10" Type="http://schemas.openxmlformats.org/officeDocument/2006/relationships/hyperlink" Target="http://www.nsc.org/research/odd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25" zoomScaleNormal="125" workbookViewId="0" topLeftCell="A42">
      <selection activeCell="A49" sqref="A49:IV60"/>
    </sheetView>
  </sheetViews>
  <sheetFormatPr defaultColWidth="11.421875" defaultRowHeight="12.75"/>
  <cols>
    <col min="1" max="1" width="13.421875" style="0" customWidth="1"/>
    <col min="2" max="2" width="1.1484375" style="0" customWidth="1"/>
    <col min="3" max="3" width="38.8515625" style="0" customWidth="1"/>
    <col min="4" max="4" width="9.421875" style="0" customWidth="1"/>
    <col min="5" max="6" width="44.7109375" style="0" customWidth="1"/>
  </cols>
  <sheetData>
    <row r="1" spans="1:4" ht="15">
      <c r="A1" s="15" t="s">
        <v>143</v>
      </c>
      <c r="B1" s="15"/>
      <c r="D1" s="80"/>
    </row>
    <row r="2" spans="1:4" ht="15">
      <c r="A2" s="15"/>
      <c r="B2" s="15"/>
      <c r="D2" s="80"/>
    </row>
    <row r="3" spans="1:4" ht="12">
      <c r="A3" t="s">
        <v>247</v>
      </c>
      <c r="D3" s="80"/>
    </row>
    <row r="4" ht="4.5" customHeight="1">
      <c r="D4" s="80"/>
    </row>
    <row r="5" spans="1:6" ht="12">
      <c r="A5" t="s">
        <v>171</v>
      </c>
      <c r="C5" t="s">
        <v>172</v>
      </c>
      <c r="D5" s="80" t="s">
        <v>173</v>
      </c>
      <c r="E5" t="s">
        <v>174</v>
      </c>
      <c r="F5" t="s">
        <v>146</v>
      </c>
    </row>
    <row r="6" spans="1:4" ht="12">
      <c r="A6" s="14" t="s">
        <v>147</v>
      </c>
      <c r="B6" s="14"/>
      <c r="D6" s="80"/>
    </row>
    <row r="7" spans="1:6" ht="12">
      <c r="A7" s="102">
        <v>36553215</v>
      </c>
      <c r="B7" s="112"/>
      <c r="C7" s="97" t="s">
        <v>148</v>
      </c>
      <c r="D7" s="109">
        <v>2007</v>
      </c>
      <c r="E7" s="97" t="s">
        <v>66</v>
      </c>
      <c r="F7" s="117" t="s">
        <v>65</v>
      </c>
    </row>
    <row r="8" spans="1:7" ht="12">
      <c r="A8" s="105">
        <v>0.139</v>
      </c>
      <c r="B8" s="104"/>
      <c r="C8" s="17" t="s">
        <v>149</v>
      </c>
      <c r="D8" s="110">
        <v>1999</v>
      </c>
      <c r="E8" s="17" t="s">
        <v>150</v>
      </c>
      <c r="F8" s="118" t="s">
        <v>0</v>
      </c>
      <c r="G8" t="s">
        <v>1</v>
      </c>
    </row>
    <row r="9" spans="1:6" ht="12">
      <c r="A9" s="99">
        <f>A8*A7</f>
        <v>5080896.885000001</v>
      </c>
      <c r="B9" s="70"/>
      <c r="C9" s="17" t="s">
        <v>73</v>
      </c>
      <c r="D9" s="110">
        <v>2009</v>
      </c>
      <c r="E9" s="17" t="s">
        <v>18</v>
      </c>
      <c r="F9" s="86" t="s">
        <v>221</v>
      </c>
    </row>
    <row r="10" spans="1:6" ht="12">
      <c r="A10" s="108">
        <v>2.87</v>
      </c>
      <c r="B10" s="107"/>
      <c r="C10" s="17" t="s">
        <v>227</v>
      </c>
      <c r="D10" s="110">
        <v>2000</v>
      </c>
      <c r="E10" s="17" t="s">
        <v>19</v>
      </c>
      <c r="F10" s="118" t="s">
        <v>65</v>
      </c>
    </row>
    <row r="11" spans="1:6" ht="12">
      <c r="A11" s="106">
        <f>A9/A10</f>
        <v>1770347.3466898957</v>
      </c>
      <c r="B11" s="113"/>
      <c r="C11" s="93" t="s">
        <v>130</v>
      </c>
      <c r="D11" s="111">
        <v>2009</v>
      </c>
      <c r="E11" s="93" t="s">
        <v>118</v>
      </c>
      <c r="F11" s="101" t="s">
        <v>10</v>
      </c>
    </row>
    <row r="12" spans="1:6" s="17" customFormat="1" ht="4.5" customHeight="1">
      <c r="A12" s="70"/>
      <c r="B12" s="70"/>
      <c r="D12" s="110"/>
      <c r="F12" s="17" t="s">
        <v>221</v>
      </c>
    </row>
    <row r="13" spans="1:6" ht="12">
      <c r="A13" s="90" t="s">
        <v>11</v>
      </c>
      <c r="B13" s="90"/>
      <c r="C13" s="17"/>
      <c r="D13" s="91" t="s">
        <v>226</v>
      </c>
      <c r="E13" s="17"/>
      <c r="F13" s="17"/>
    </row>
    <row r="14" spans="1:6" ht="12">
      <c r="A14" s="96">
        <f>A9</f>
        <v>5080896.885000001</v>
      </c>
      <c r="B14" s="83"/>
      <c r="C14" s="97" t="s">
        <v>169</v>
      </c>
      <c r="D14" s="109">
        <v>2009</v>
      </c>
      <c r="E14" s="97" t="s">
        <v>20</v>
      </c>
      <c r="F14" s="84"/>
    </row>
    <row r="15" spans="1:6" ht="12">
      <c r="A15" s="105">
        <v>0.1</v>
      </c>
      <c r="B15" s="104"/>
      <c r="C15" s="17" t="s">
        <v>149</v>
      </c>
      <c r="D15" s="110">
        <v>1950</v>
      </c>
      <c r="E15" s="17" t="s">
        <v>79</v>
      </c>
      <c r="F15" s="86"/>
    </row>
    <row r="16" spans="1:6" ht="12">
      <c r="A16" s="98">
        <v>10586223</v>
      </c>
      <c r="B16" s="95"/>
      <c r="C16" s="17" t="s">
        <v>148</v>
      </c>
      <c r="D16" s="110">
        <v>1950</v>
      </c>
      <c r="E16" s="17" t="s">
        <v>121</v>
      </c>
      <c r="F16" s="118" t="s">
        <v>120</v>
      </c>
    </row>
    <row r="17" spans="1:6" ht="12">
      <c r="A17" s="99">
        <f>A16*A15</f>
        <v>1058622.3</v>
      </c>
      <c r="B17" s="70"/>
      <c r="C17" s="17" t="s">
        <v>73</v>
      </c>
      <c r="D17" s="110">
        <v>1950</v>
      </c>
      <c r="E17" s="17" t="s">
        <v>18</v>
      </c>
      <c r="F17" s="86"/>
    </row>
    <row r="18" spans="1:6" ht="12">
      <c r="A18" s="99">
        <f>AVERAGE(A17,A14)</f>
        <v>3069759.5925000003</v>
      </c>
      <c r="B18" s="70"/>
      <c r="C18" s="17" t="s">
        <v>80</v>
      </c>
      <c r="D18" s="110" t="s">
        <v>81</v>
      </c>
      <c r="E18" s="17" t="s">
        <v>82</v>
      </c>
      <c r="F18" s="86"/>
    </row>
    <row r="19" spans="1:6" ht="12">
      <c r="A19" s="98">
        <v>60</v>
      </c>
      <c r="B19" s="95"/>
      <c r="C19" s="17" t="s">
        <v>83</v>
      </c>
      <c r="D19" s="110"/>
      <c r="E19" s="17" t="s">
        <v>21</v>
      </c>
      <c r="F19" s="86"/>
    </row>
    <row r="20" spans="1:6" ht="12">
      <c r="A20" s="106">
        <f>A19*A18</f>
        <v>184185575.55</v>
      </c>
      <c r="B20" s="113"/>
      <c r="C20" s="93" t="s">
        <v>167</v>
      </c>
      <c r="D20" s="111"/>
      <c r="E20" s="93" t="s">
        <v>119</v>
      </c>
      <c r="F20" s="101"/>
    </row>
    <row r="21" spans="1:4" s="17" customFormat="1" ht="4.5" customHeight="1">
      <c r="A21" s="70"/>
      <c r="B21" s="70"/>
      <c r="D21" s="110"/>
    </row>
    <row r="22" spans="1:6" ht="12">
      <c r="A22" s="90" t="s">
        <v>191</v>
      </c>
      <c r="B22" s="90"/>
      <c r="C22" s="17"/>
      <c r="D22" s="110"/>
      <c r="E22" s="17"/>
      <c r="F22" s="17"/>
    </row>
    <row r="23" spans="1:6" ht="12">
      <c r="A23" s="102">
        <v>303824640</v>
      </c>
      <c r="B23" s="112"/>
      <c r="C23" s="97" t="s">
        <v>192</v>
      </c>
      <c r="D23" s="109">
        <v>2008</v>
      </c>
      <c r="E23" s="97" t="s">
        <v>122</v>
      </c>
      <c r="F23" s="117" t="s">
        <v>123</v>
      </c>
    </row>
    <row r="24" spans="1:6" ht="12">
      <c r="A24" s="105">
        <v>0.07</v>
      </c>
      <c r="B24" s="104"/>
      <c r="C24" s="17" t="s">
        <v>149</v>
      </c>
      <c r="D24" s="110">
        <v>1999</v>
      </c>
      <c r="E24" s="17" t="s">
        <v>150</v>
      </c>
      <c r="F24" s="118" t="s">
        <v>193</v>
      </c>
    </row>
    <row r="25" spans="1:6" ht="12">
      <c r="A25" s="99">
        <f>A24*A23</f>
        <v>21267724.8</v>
      </c>
      <c r="B25" s="70"/>
      <c r="C25" s="17" t="s">
        <v>73</v>
      </c>
      <c r="D25" s="110">
        <v>2009</v>
      </c>
      <c r="E25" s="17" t="s">
        <v>18</v>
      </c>
      <c r="F25" s="86" t="s">
        <v>221</v>
      </c>
    </row>
    <row r="26" spans="1:6" ht="12">
      <c r="A26" s="108">
        <v>2.59</v>
      </c>
      <c r="B26" s="107"/>
      <c r="C26" s="17" t="s">
        <v>227</v>
      </c>
      <c r="D26" s="110">
        <v>2000</v>
      </c>
      <c r="E26" s="17" t="s">
        <v>19</v>
      </c>
      <c r="F26" s="118" t="s">
        <v>65</v>
      </c>
    </row>
    <row r="27" spans="1:6" ht="12">
      <c r="A27" s="106">
        <f>A25/A26</f>
        <v>8211476.756756757</v>
      </c>
      <c r="B27" s="113"/>
      <c r="C27" s="93" t="s">
        <v>130</v>
      </c>
      <c r="D27" s="111">
        <v>2009</v>
      </c>
      <c r="E27" s="93" t="s">
        <v>118</v>
      </c>
      <c r="F27" s="101" t="s">
        <v>221</v>
      </c>
    </row>
    <row r="28" spans="1:4" s="17" customFormat="1" ht="4.5" customHeight="1">
      <c r="A28" s="70"/>
      <c r="B28" s="70"/>
      <c r="D28" s="110"/>
    </row>
    <row r="29" spans="1:6" ht="12">
      <c r="A29" s="90" t="s">
        <v>194</v>
      </c>
      <c r="B29" s="90"/>
      <c r="C29" s="17"/>
      <c r="D29" s="91" t="s">
        <v>226</v>
      </c>
      <c r="E29" s="17"/>
      <c r="F29" s="17"/>
    </row>
    <row r="30" spans="1:6" ht="12">
      <c r="A30" s="96">
        <f>A25</f>
        <v>21267724.8</v>
      </c>
      <c r="B30" s="83"/>
      <c r="C30" s="97" t="s">
        <v>168</v>
      </c>
      <c r="D30" s="109">
        <v>2009</v>
      </c>
      <c r="E30" s="97" t="s">
        <v>20</v>
      </c>
      <c r="F30" s="84"/>
    </row>
    <row r="31" spans="1:6" ht="12">
      <c r="A31" s="105">
        <v>0.1</v>
      </c>
      <c r="B31" s="104"/>
      <c r="C31" s="17" t="s">
        <v>149</v>
      </c>
      <c r="D31" s="110">
        <v>1950</v>
      </c>
      <c r="E31" s="17" t="s">
        <v>79</v>
      </c>
      <c r="F31" s="86"/>
    </row>
    <row r="32" spans="1:6" ht="12">
      <c r="A32" s="98">
        <v>152271417</v>
      </c>
      <c r="B32" s="95"/>
      <c r="C32" s="17" t="s">
        <v>192</v>
      </c>
      <c r="D32" s="110">
        <v>1950</v>
      </c>
      <c r="E32" s="17" t="s">
        <v>124</v>
      </c>
      <c r="F32" s="118" t="s">
        <v>125</v>
      </c>
    </row>
    <row r="33" spans="1:6" ht="12">
      <c r="A33" s="99">
        <f>A32*A31</f>
        <v>15227141.700000001</v>
      </c>
      <c r="B33" s="70"/>
      <c r="C33" s="17" t="s">
        <v>170</v>
      </c>
      <c r="D33" s="110">
        <v>1950</v>
      </c>
      <c r="E33" s="17" t="s">
        <v>18</v>
      </c>
      <c r="F33" s="86"/>
    </row>
    <row r="34" spans="1:6" ht="12">
      <c r="A34" s="99">
        <f>AVERAGE(A33,A30)</f>
        <v>18247433.25</v>
      </c>
      <c r="B34" s="70"/>
      <c r="C34" s="17" t="s">
        <v>80</v>
      </c>
      <c r="D34" s="110" t="s">
        <v>81</v>
      </c>
      <c r="E34" s="17" t="s">
        <v>82</v>
      </c>
      <c r="F34" s="86"/>
    </row>
    <row r="35" spans="1:6" ht="12">
      <c r="A35" s="98">
        <v>60</v>
      </c>
      <c r="B35" s="95"/>
      <c r="C35" s="17" t="s">
        <v>83</v>
      </c>
      <c r="D35" s="110"/>
      <c r="E35" s="17" t="s">
        <v>21</v>
      </c>
      <c r="F35" s="86"/>
    </row>
    <row r="36" spans="1:6" ht="12">
      <c r="A36" s="106">
        <f>A35*A34</f>
        <v>1094845995</v>
      </c>
      <c r="B36" s="113"/>
      <c r="C36" s="93" t="s">
        <v>167</v>
      </c>
      <c r="D36" s="111"/>
      <c r="E36" s="93" t="s">
        <v>119</v>
      </c>
      <c r="F36" s="101"/>
    </row>
    <row r="37" spans="1:4" s="17" customFormat="1" ht="4.5" customHeight="1">
      <c r="A37" s="70"/>
      <c r="B37" s="70"/>
      <c r="D37" s="110"/>
    </row>
    <row r="38" spans="1:6" ht="12">
      <c r="A38" s="92" t="s">
        <v>102</v>
      </c>
      <c r="B38" s="92"/>
      <c r="C38" s="17"/>
      <c r="D38" s="110"/>
      <c r="E38" s="17"/>
      <c r="F38" s="17"/>
    </row>
    <row r="39" spans="1:6" ht="12">
      <c r="A39" s="102">
        <v>0</v>
      </c>
      <c r="B39" s="112"/>
      <c r="C39" s="97" t="s">
        <v>103</v>
      </c>
      <c r="D39" s="109"/>
      <c r="E39" s="97" t="s">
        <v>104</v>
      </c>
      <c r="F39" s="84"/>
    </row>
    <row r="40" spans="1:6" ht="12">
      <c r="A40" s="98">
        <v>400</v>
      </c>
      <c r="B40" s="95"/>
      <c r="C40" s="17" t="s">
        <v>5</v>
      </c>
      <c r="D40" s="110">
        <v>2008</v>
      </c>
      <c r="E40" s="17" t="s">
        <v>140</v>
      </c>
      <c r="F40" s="118" t="s">
        <v>9</v>
      </c>
    </row>
    <row r="41" spans="1:6" ht="12">
      <c r="A41" s="103">
        <v>344</v>
      </c>
      <c r="B41" s="114"/>
      <c r="C41" s="93" t="s">
        <v>8</v>
      </c>
      <c r="D41" s="111">
        <v>2005</v>
      </c>
      <c r="E41" s="93" t="s">
        <v>7</v>
      </c>
      <c r="F41" s="119" t="s">
        <v>6</v>
      </c>
    </row>
    <row r="42" spans="1:4" s="17" customFormat="1" ht="4.5" customHeight="1">
      <c r="A42" s="70"/>
      <c r="B42" s="70"/>
      <c r="D42" s="110"/>
    </row>
    <row r="43" spans="1:6" ht="12">
      <c r="A43" s="90" t="s">
        <v>101</v>
      </c>
      <c r="B43" s="90"/>
      <c r="C43" s="17"/>
      <c r="D43" s="110"/>
      <c r="E43" s="17"/>
      <c r="F43" s="17"/>
    </row>
    <row r="44" spans="1:6" ht="12">
      <c r="A44" s="96">
        <f>A11</f>
        <v>1770347.3466898957</v>
      </c>
      <c r="B44" s="83"/>
      <c r="C44" s="97" t="s">
        <v>130</v>
      </c>
      <c r="D44" s="109">
        <v>2009</v>
      </c>
      <c r="E44" s="97" t="s">
        <v>222</v>
      </c>
      <c r="F44" s="84" t="s">
        <v>3</v>
      </c>
    </row>
    <row r="45" spans="1:6" ht="12">
      <c r="A45" s="98">
        <v>200</v>
      </c>
      <c r="B45" s="95"/>
      <c r="C45" s="17" t="s">
        <v>195</v>
      </c>
      <c r="D45" s="110" t="s">
        <v>196</v>
      </c>
      <c r="E45" s="17" t="s">
        <v>2</v>
      </c>
      <c r="F45" s="86"/>
    </row>
    <row r="46" spans="1:6" ht="12">
      <c r="A46" s="99">
        <f>A44/A45</f>
        <v>8851.73673344948</v>
      </c>
      <c r="B46" s="70"/>
      <c r="C46" s="17" t="s">
        <v>98</v>
      </c>
      <c r="D46" s="17"/>
      <c r="E46" s="17" t="s">
        <v>99</v>
      </c>
      <c r="F46" s="86"/>
    </row>
    <row r="47" spans="1:6" ht="12">
      <c r="A47" s="100">
        <f>1/A46</f>
        <v>0.00011297218050115966</v>
      </c>
      <c r="B47" s="115"/>
      <c r="C47" s="93" t="s">
        <v>100</v>
      </c>
      <c r="D47" s="93"/>
      <c r="E47" s="93" t="s">
        <v>99</v>
      </c>
      <c r="F47" s="101"/>
    </row>
    <row r="48" spans="1:2" ht="6.75" customHeight="1">
      <c r="A48" s="13"/>
      <c r="B48" s="13"/>
    </row>
    <row r="49" spans="1:4" ht="12">
      <c r="A49" s="79" t="str">
        <f>GWDiseasePotential!A1</f>
        <v>Reportable GW Diseases, Potential &amp; Reported</v>
      </c>
      <c r="B49" s="79"/>
      <c r="D49" s="80" t="s">
        <v>223</v>
      </c>
    </row>
    <row r="50" spans="3:6" ht="12">
      <c r="C50" s="80" t="str">
        <f>GWDiseasePotential!A2</f>
        <v>Disease  </v>
      </c>
      <c r="D50" s="80" t="s">
        <v>224</v>
      </c>
      <c r="E50" s="77" t="str">
        <f>GWDiseasePotential!J1</f>
        <v>Est. 60 Years Cumulative Cases</v>
      </c>
      <c r="F50" s="77" t="str">
        <f>GWDiseasePotential!K1</f>
        <v>Cases Linked to Graywater</v>
      </c>
    </row>
    <row r="51" spans="2:6" ht="12">
      <c r="B51" s="82"/>
      <c r="C51" s="97" t="str">
        <f>GWDiseasePotential!A4</f>
        <v> Cholera </v>
      </c>
      <c r="D51" s="83">
        <f>GWDiseasePotential!B4</f>
        <v>7</v>
      </c>
      <c r="E51" s="83">
        <f>GWDiseasePotential!J4</f>
        <v>288</v>
      </c>
      <c r="F51" s="84">
        <f>GWDiseasePotential!K4</f>
        <v>0</v>
      </c>
    </row>
    <row r="52" spans="2:6" ht="12">
      <c r="B52" s="85"/>
      <c r="C52" s="17" t="str">
        <f>GWDiseasePotential!A5</f>
        <v> Cryptosporidiosis</v>
      </c>
      <c r="D52" s="70">
        <f>GWDiseasePotential!B5</f>
        <v>11170</v>
      </c>
      <c r="E52" s="70">
        <f>GWDiseasePotential!J5</f>
        <v>502650</v>
      </c>
      <c r="F52" s="86">
        <f>GWDiseasePotential!K5</f>
        <v>0</v>
      </c>
    </row>
    <row r="53" spans="2:6" ht="12">
      <c r="B53" s="85"/>
      <c r="C53" s="17" t="str">
        <f>GWDiseasePotential!A6</f>
        <v> E. coli, Shiga toxin-producing (STEC)</v>
      </c>
      <c r="D53" s="70">
        <f>GWDiseasePotential!B6</f>
        <v>4847</v>
      </c>
      <c r="E53" s="70">
        <f>GWDiseasePotential!J6</f>
        <v>218115</v>
      </c>
      <c r="F53" s="86">
        <f>GWDiseasePotential!K6</f>
        <v>0</v>
      </c>
    </row>
    <row r="54" spans="2:6" ht="12">
      <c r="B54" s="85"/>
      <c r="C54" s="17" t="str">
        <f>GWDiseasePotential!A7</f>
        <v> Giardiasis</v>
      </c>
      <c r="D54" s="70">
        <f>GWDiseasePotential!B7</f>
        <v>19417</v>
      </c>
      <c r="E54" s="70">
        <f>GWDiseasePotential!J7</f>
        <v>873765</v>
      </c>
      <c r="F54" s="86">
        <f>GWDiseasePotential!K7</f>
        <v>0</v>
      </c>
    </row>
    <row r="55" spans="2:6" ht="12">
      <c r="B55" s="85"/>
      <c r="C55" s="17" t="str">
        <f>GWDiseasePotential!A8</f>
        <v> Hepatitis A</v>
      </c>
      <c r="D55" s="70">
        <f>GWDiseasePotential!B8</f>
        <v>2979</v>
      </c>
      <c r="E55" s="70">
        <f>GWDiseasePotential!J8</f>
        <v>134055</v>
      </c>
      <c r="F55" s="86">
        <f>GWDiseasePotential!K8</f>
        <v>0</v>
      </c>
    </row>
    <row r="56" spans="2:6" ht="12">
      <c r="B56" s="85"/>
      <c r="C56" s="17" t="str">
        <f>GWDiseasePotential!A9</f>
        <v> Legionellosis</v>
      </c>
      <c r="D56" s="70">
        <f>GWDiseasePotential!B9</f>
        <v>2716</v>
      </c>
      <c r="E56" s="70">
        <f>GWDiseasePotential!J9</f>
        <v>122220</v>
      </c>
      <c r="F56" s="86">
        <f>GWDiseasePotential!K9</f>
        <v>0</v>
      </c>
    </row>
    <row r="57" spans="2:6" ht="12">
      <c r="B57" s="85"/>
      <c r="C57" s="17" t="str">
        <f>GWDiseasePotential!A10</f>
        <v> Salmonellosis</v>
      </c>
      <c r="D57" s="70">
        <f>GWDiseasePotential!B10</f>
        <v>47995</v>
      </c>
      <c r="E57" s="70">
        <f>GWDiseasePotential!J10</f>
        <v>2159775</v>
      </c>
      <c r="F57" s="86">
        <f>GWDiseasePotential!K10</f>
        <v>0</v>
      </c>
    </row>
    <row r="58" spans="2:6" ht="12">
      <c r="B58" s="85"/>
      <c r="C58" s="17" t="str">
        <f>GWDiseasePotential!A11</f>
        <v> Shigellosis</v>
      </c>
      <c r="D58" s="70">
        <f>GWDiseasePotential!B11</f>
        <v>19758</v>
      </c>
      <c r="E58" s="70">
        <f>GWDiseasePotential!J11</f>
        <v>889110</v>
      </c>
      <c r="F58" s="86">
        <f>GWDiseasePotential!K11</f>
        <v>0</v>
      </c>
    </row>
    <row r="59" spans="2:6" ht="12">
      <c r="B59" s="85"/>
      <c r="C59" s="17" t="str">
        <f>GWDiseasePotential!A12</f>
        <v> Vibriosis (non-cholera Vibrio species infections) § </v>
      </c>
      <c r="D59" s="81">
        <f>GWDiseasePotential!B12</f>
        <v>447</v>
      </c>
      <c r="E59" s="81">
        <f>GWDiseasePotential!J12</f>
        <v>20115</v>
      </c>
      <c r="F59" s="87">
        <f>GWDiseasePotential!K12</f>
        <v>0</v>
      </c>
    </row>
    <row r="60" spans="2:6" ht="12">
      <c r="B60" s="116"/>
      <c r="C60" s="94" t="str">
        <f>GWDiseasePotential!A3</f>
        <v>Totals</v>
      </c>
      <c r="D60" s="88">
        <f>GWDiseasePotential!B3</f>
        <v>123713</v>
      </c>
      <c r="E60" s="88">
        <f>GWDiseasePotential!J3</f>
        <v>4920093</v>
      </c>
      <c r="F60" s="89">
        <f>GWDiseasePotential!K3</f>
        <v>0</v>
      </c>
    </row>
    <row r="69" ht="12">
      <c r="C69" t="s">
        <v>260</v>
      </c>
    </row>
  </sheetData>
  <hyperlinks>
    <hyperlink ref="F7" r:id="rId1" display="http://quickfacts.census.gov/qfd/states/06000.html"/>
    <hyperlink ref="F8" r:id="rId2" display="http://www.sdascience.org/docs/Graywater_Habits_&amp;_Practices_Survey.pdf "/>
    <hyperlink ref="F10" r:id="rId3" display="http://quickfacts.census.gov/qfd/states/06000.html"/>
    <hyperlink ref="F16" r:id="rId4" display="www.census.gov/dmd/www/resapport/states/california.pdf"/>
    <hyperlink ref="F23" r:id="rId5" display="https://www.cia.gov/library/publications/the-world-factbook/print/us.html"/>
    <hyperlink ref="F24" r:id="rId6" display="http://www.sdascience.org/index.php?option=com_content&amp;task=view&amp;id=96&amp;Itemid=131"/>
    <hyperlink ref="F26" r:id="rId7" display="http://quickfacts.census.gov/qfd/states/06000.html"/>
    <hyperlink ref="F32" r:id="rId8" display="http://www.npg.org/facts/us_historical_pops.htm"/>
    <hyperlink ref="F40" r:id="rId9" display="http://www.lightningsafety.noaa.gov/medical.htm"/>
    <hyperlink ref="F41" r:id="rId10" display="http://www.nsc.org/research/odds.aspx"/>
  </hyperlinks>
  <printOptions/>
  <pageMargins left="0.5" right="0.5" top="0.5" bottom="0.5" header="0" footer="0"/>
  <pageSetup fitToHeight="1" fitToWidth="1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5.28125" style="0" customWidth="1"/>
    <col min="2" max="6" width="7.28125" style="0" customWidth="1"/>
    <col min="7" max="7" width="11.140625" style="13" customWidth="1"/>
    <col min="8" max="8" width="10.421875" style="0" customWidth="1"/>
    <col min="9" max="10" width="15.00390625" style="13" customWidth="1"/>
    <col min="11" max="11" width="11.8515625" style="0" customWidth="1"/>
  </cols>
  <sheetData>
    <row r="1" spans="1:11" ht="15">
      <c r="A1" s="15" t="s">
        <v>225</v>
      </c>
      <c r="B1" t="s">
        <v>151</v>
      </c>
      <c r="G1" s="121" t="s">
        <v>84</v>
      </c>
      <c r="H1" s="120" t="s">
        <v>253</v>
      </c>
      <c r="I1" s="121" t="s">
        <v>85</v>
      </c>
      <c r="J1" s="121" t="s">
        <v>250</v>
      </c>
      <c r="K1" s="120" t="s">
        <v>252</v>
      </c>
    </row>
    <row r="2" spans="1:11" ht="12">
      <c r="A2" t="s">
        <v>152</v>
      </c>
      <c r="B2">
        <v>2007</v>
      </c>
      <c r="C2">
        <v>2006</v>
      </c>
      <c r="D2">
        <v>2005</v>
      </c>
      <c r="E2">
        <v>2004</v>
      </c>
      <c r="F2">
        <v>2003</v>
      </c>
      <c r="G2" s="121"/>
      <c r="H2" s="120"/>
      <c r="I2" s="121"/>
      <c r="J2" s="121"/>
      <c r="K2" s="120"/>
    </row>
    <row r="3" spans="1:11" ht="12">
      <c r="A3" s="77" t="s">
        <v>153</v>
      </c>
      <c r="B3">
        <f aca="true" t="shared" si="0" ref="B3:G3">SUM(B4:B76)</f>
        <v>123713</v>
      </c>
      <c r="C3">
        <f t="shared" si="0"/>
        <v>13618</v>
      </c>
      <c r="D3">
        <f t="shared" si="0"/>
        <v>7884</v>
      </c>
      <c r="E3">
        <f t="shared" si="0"/>
        <v>5550</v>
      </c>
      <c r="F3">
        <f t="shared" si="0"/>
        <v>5839</v>
      </c>
      <c r="G3" s="13">
        <f t="shared" si="0"/>
        <v>124211.44999999997</v>
      </c>
      <c r="H3" s="73"/>
      <c r="I3" s="76">
        <f>SUM(I4:I76)</f>
        <v>109335.4</v>
      </c>
      <c r="J3" s="76">
        <f aca="true" t="shared" si="1" ref="J3:J34">I3*225/300*60</f>
        <v>4920093</v>
      </c>
      <c r="K3" s="78">
        <v>0</v>
      </c>
    </row>
    <row r="4" spans="1:11" ht="12">
      <c r="A4" t="s">
        <v>92</v>
      </c>
      <c r="B4">
        <v>7</v>
      </c>
      <c r="C4">
        <v>9</v>
      </c>
      <c r="D4">
        <v>8</v>
      </c>
      <c r="E4">
        <v>6</v>
      </c>
      <c r="F4">
        <v>2</v>
      </c>
      <c r="G4" s="13">
        <f aca="true" t="shared" si="2" ref="G4:G13">AVERAGE(B4:F4)</f>
        <v>6.4</v>
      </c>
      <c r="H4">
        <v>1</v>
      </c>
      <c r="I4" s="13">
        <f aca="true" t="shared" si="3" ref="I4:I35">G4*H4</f>
        <v>6.4</v>
      </c>
      <c r="J4" s="76">
        <f t="shared" si="1"/>
        <v>288</v>
      </c>
      <c r="K4">
        <v>0</v>
      </c>
    </row>
    <row r="5" spans="1:11" ht="12">
      <c r="A5" t="s">
        <v>93</v>
      </c>
      <c r="B5" s="13">
        <v>11170</v>
      </c>
      <c r="C5" s="13"/>
      <c r="G5" s="13">
        <f t="shared" si="2"/>
        <v>11170</v>
      </c>
      <c r="H5">
        <v>1</v>
      </c>
      <c r="I5" s="13">
        <f t="shared" si="3"/>
        <v>11170</v>
      </c>
      <c r="J5" s="76">
        <f t="shared" si="1"/>
        <v>502650</v>
      </c>
      <c r="K5">
        <v>0</v>
      </c>
    </row>
    <row r="6" spans="1:11" ht="12">
      <c r="A6" t="s">
        <v>282</v>
      </c>
      <c r="B6" s="13">
        <v>4847</v>
      </c>
      <c r="G6" s="13">
        <f t="shared" si="2"/>
        <v>4847</v>
      </c>
      <c r="H6">
        <v>1</v>
      </c>
      <c r="I6" s="13">
        <f t="shared" si="3"/>
        <v>4847</v>
      </c>
      <c r="J6" s="76">
        <f t="shared" si="1"/>
        <v>218115</v>
      </c>
      <c r="K6">
        <v>0</v>
      </c>
    </row>
    <row r="7" spans="1:11" ht="12">
      <c r="A7" t="s">
        <v>201</v>
      </c>
      <c r="B7" s="13">
        <v>19417</v>
      </c>
      <c r="G7" s="13">
        <f t="shared" si="2"/>
        <v>19417</v>
      </c>
      <c r="H7">
        <v>1</v>
      </c>
      <c r="I7" s="13">
        <f t="shared" si="3"/>
        <v>19417</v>
      </c>
      <c r="J7" s="76">
        <f t="shared" si="1"/>
        <v>873765</v>
      </c>
      <c r="K7">
        <v>0</v>
      </c>
    </row>
    <row r="8" spans="1:11" ht="12">
      <c r="A8" t="s">
        <v>209</v>
      </c>
      <c r="B8" s="13">
        <v>2979</v>
      </c>
      <c r="G8" s="13">
        <f t="shared" si="2"/>
        <v>2979</v>
      </c>
      <c r="H8">
        <v>1</v>
      </c>
      <c r="I8" s="13">
        <f t="shared" si="3"/>
        <v>2979</v>
      </c>
      <c r="J8" s="76">
        <f t="shared" si="1"/>
        <v>134055</v>
      </c>
      <c r="K8">
        <v>0</v>
      </c>
    </row>
    <row r="9" spans="1:11" ht="12">
      <c r="A9" t="s">
        <v>241</v>
      </c>
      <c r="B9" s="13">
        <v>2716</v>
      </c>
      <c r="G9" s="13">
        <f t="shared" si="2"/>
        <v>2716</v>
      </c>
      <c r="H9">
        <v>1</v>
      </c>
      <c r="I9" s="13">
        <f t="shared" si="3"/>
        <v>2716</v>
      </c>
      <c r="J9" s="76">
        <f t="shared" si="1"/>
        <v>122220</v>
      </c>
      <c r="K9">
        <v>0</v>
      </c>
    </row>
    <row r="10" spans="1:11" ht="12">
      <c r="A10" t="s">
        <v>264</v>
      </c>
      <c r="B10" s="13">
        <v>47995</v>
      </c>
      <c r="G10" s="13">
        <f t="shared" si="2"/>
        <v>47995</v>
      </c>
      <c r="H10">
        <v>1</v>
      </c>
      <c r="I10" s="13">
        <f t="shared" si="3"/>
        <v>47995</v>
      </c>
      <c r="J10" s="76">
        <f t="shared" si="1"/>
        <v>2159775</v>
      </c>
      <c r="K10">
        <v>0</v>
      </c>
    </row>
    <row r="11" spans="1:11" ht="12">
      <c r="A11" t="s">
        <v>265</v>
      </c>
      <c r="B11" s="13">
        <v>19758</v>
      </c>
      <c r="G11" s="13">
        <f t="shared" si="2"/>
        <v>19758</v>
      </c>
      <c r="H11">
        <v>1</v>
      </c>
      <c r="I11" s="13">
        <f t="shared" si="3"/>
        <v>19758</v>
      </c>
      <c r="J11" s="76">
        <f t="shared" si="1"/>
        <v>889110</v>
      </c>
      <c r="K11">
        <v>0</v>
      </c>
    </row>
    <row r="12" spans="1:11" ht="12">
      <c r="A12" t="s">
        <v>213</v>
      </c>
      <c r="B12">
        <v>447</v>
      </c>
      <c r="C12" t="s">
        <v>240</v>
      </c>
      <c r="D12" t="s">
        <v>240</v>
      </c>
      <c r="E12" t="s">
        <v>240</v>
      </c>
      <c r="F12" t="s">
        <v>240</v>
      </c>
      <c r="G12" s="13">
        <f t="shared" si="2"/>
        <v>447</v>
      </c>
      <c r="H12">
        <v>1</v>
      </c>
      <c r="I12" s="13">
        <f t="shared" si="3"/>
        <v>447</v>
      </c>
      <c r="J12" s="76">
        <f t="shared" si="1"/>
        <v>20115</v>
      </c>
      <c r="K12">
        <v>0</v>
      </c>
    </row>
    <row r="13" spans="1:11" ht="12">
      <c r="A13" t="s">
        <v>154</v>
      </c>
      <c r="B13">
        <v>1</v>
      </c>
      <c r="C13">
        <v>1</v>
      </c>
      <c r="D13" t="s">
        <v>155</v>
      </c>
      <c r="E13" t="s">
        <v>155</v>
      </c>
      <c r="F13" t="s">
        <v>155</v>
      </c>
      <c r="G13" s="13">
        <f t="shared" si="2"/>
        <v>1</v>
      </c>
      <c r="I13" s="13">
        <f t="shared" si="3"/>
        <v>0</v>
      </c>
      <c r="J13" s="76">
        <f t="shared" si="1"/>
        <v>0</v>
      </c>
      <c r="K13" s="77">
        <v>0</v>
      </c>
    </row>
    <row r="14" spans="1:11" ht="12">
      <c r="A14" t="s">
        <v>86</v>
      </c>
      <c r="I14" s="13">
        <f t="shared" si="3"/>
        <v>0</v>
      </c>
      <c r="J14" s="76">
        <f t="shared" si="1"/>
        <v>0</v>
      </c>
      <c r="K14">
        <v>0</v>
      </c>
    </row>
    <row r="15" spans="1:11" ht="12">
      <c r="A15" t="s">
        <v>87</v>
      </c>
      <c r="B15">
        <v>32</v>
      </c>
      <c r="C15">
        <v>20</v>
      </c>
      <c r="D15">
        <v>19</v>
      </c>
      <c r="E15">
        <v>16</v>
      </c>
      <c r="F15">
        <v>20</v>
      </c>
      <c r="G15" s="13">
        <f aca="true" t="shared" si="4" ref="G15:G21">AVERAGE(B15:F15)</f>
        <v>21.4</v>
      </c>
      <c r="I15" s="13">
        <f t="shared" si="3"/>
        <v>0</v>
      </c>
      <c r="J15" s="76">
        <f t="shared" si="1"/>
        <v>0</v>
      </c>
      <c r="K15">
        <v>0</v>
      </c>
    </row>
    <row r="16" spans="1:11" ht="12">
      <c r="A16" t="s">
        <v>88</v>
      </c>
      <c r="B16">
        <v>85</v>
      </c>
      <c r="C16">
        <v>97</v>
      </c>
      <c r="D16">
        <v>85</v>
      </c>
      <c r="E16">
        <v>87</v>
      </c>
      <c r="F16">
        <v>76</v>
      </c>
      <c r="G16" s="13">
        <f t="shared" si="4"/>
        <v>86</v>
      </c>
      <c r="I16" s="13">
        <f t="shared" si="3"/>
        <v>0</v>
      </c>
      <c r="J16" s="76">
        <f t="shared" si="1"/>
        <v>0</v>
      </c>
      <c r="K16">
        <v>0</v>
      </c>
    </row>
    <row r="17" spans="1:11" ht="12">
      <c r="A17" t="s">
        <v>89</v>
      </c>
      <c r="B17">
        <v>27</v>
      </c>
      <c r="C17">
        <v>48</v>
      </c>
      <c r="D17">
        <v>31</v>
      </c>
      <c r="E17">
        <v>30</v>
      </c>
      <c r="F17">
        <v>33</v>
      </c>
      <c r="G17" s="13">
        <f t="shared" si="4"/>
        <v>33.8</v>
      </c>
      <c r="I17" s="13">
        <f t="shared" si="3"/>
        <v>0</v>
      </c>
      <c r="J17" s="76">
        <f t="shared" si="1"/>
        <v>0</v>
      </c>
      <c r="K17">
        <v>0</v>
      </c>
    </row>
    <row r="18" spans="1:11" ht="12">
      <c r="A18" t="s">
        <v>90</v>
      </c>
      <c r="B18">
        <v>131</v>
      </c>
      <c r="C18">
        <v>121</v>
      </c>
      <c r="D18">
        <v>120</v>
      </c>
      <c r="E18">
        <v>114</v>
      </c>
      <c r="F18">
        <v>104</v>
      </c>
      <c r="G18" s="13">
        <f t="shared" si="4"/>
        <v>118</v>
      </c>
      <c r="I18" s="13">
        <f t="shared" si="3"/>
        <v>0</v>
      </c>
      <c r="J18" s="76">
        <f t="shared" si="1"/>
        <v>0</v>
      </c>
      <c r="K18">
        <v>0</v>
      </c>
    </row>
    <row r="19" spans="1:11" ht="12">
      <c r="A19" t="s">
        <v>91</v>
      </c>
      <c r="B19">
        <v>23</v>
      </c>
      <c r="C19">
        <v>33</v>
      </c>
      <c r="D19">
        <v>17</v>
      </c>
      <c r="E19">
        <v>30</v>
      </c>
      <c r="F19">
        <v>54</v>
      </c>
      <c r="G19" s="13">
        <f t="shared" si="4"/>
        <v>31.4</v>
      </c>
      <c r="I19" s="13">
        <f t="shared" si="3"/>
        <v>0</v>
      </c>
      <c r="J19" s="76">
        <f t="shared" si="1"/>
        <v>0</v>
      </c>
      <c r="K19">
        <v>0</v>
      </c>
    </row>
    <row r="20" spans="1:11" ht="12">
      <c r="A20" t="s">
        <v>274</v>
      </c>
      <c r="B20">
        <v>93</v>
      </c>
      <c r="C20">
        <v>137</v>
      </c>
      <c r="D20">
        <v>543</v>
      </c>
      <c r="E20">
        <v>160</v>
      </c>
      <c r="F20">
        <v>75</v>
      </c>
      <c r="G20" s="13">
        <f t="shared" si="4"/>
        <v>201.6</v>
      </c>
      <c r="I20" s="13">
        <f t="shared" si="3"/>
        <v>0</v>
      </c>
      <c r="J20" s="76">
        <f t="shared" si="1"/>
        <v>0</v>
      </c>
      <c r="K20">
        <v>0</v>
      </c>
    </row>
    <row r="21" spans="1:11" ht="12">
      <c r="A21" t="s">
        <v>275</v>
      </c>
      <c r="B21" t="s">
        <v>155</v>
      </c>
      <c r="C21" t="s">
        <v>155</v>
      </c>
      <c r="D21" t="s">
        <v>155</v>
      </c>
      <c r="E21" t="s">
        <v>155</v>
      </c>
      <c r="F21">
        <v>1</v>
      </c>
      <c r="G21" s="13">
        <f t="shared" si="4"/>
        <v>1</v>
      </c>
      <c r="I21" s="13">
        <f t="shared" si="3"/>
        <v>0</v>
      </c>
      <c r="J21" s="76">
        <f t="shared" si="1"/>
        <v>0</v>
      </c>
      <c r="K21">
        <v>0</v>
      </c>
    </row>
    <row r="22" spans="1:11" ht="12">
      <c r="A22" t="s">
        <v>276</v>
      </c>
      <c r="I22" s="13">
        <f t="shared" si="3"/>
        <v>0</v>
      </c>
      <c r="J22" s="76">
        <f t="shared" si="1"/>
        <v>0</v>
      </c>
      <c r="K22">
        <v>0</v>
      </c>
    </row>
    <row r="23" spans="1:11" ht="12">
      <c r="A23" t="s">
        <v>277</v>
      </c>
      <c r="B23">
        <v>55</v>
      </c>
      <c r="C23">
        <v>67</v>
      </c>
      <c r="D23">
        <v>80</v>
      </c>
      <c r="E23">
        <v>112</v>
      </c>
      <c r="F23">
        <v>108</v>
      </c>
      <c r="G23" s="13">
        <f>AVERAGE(B23:F23)</f>
        <v>84.4</v>
      </c>
      <c r="I23" s="13">
        <f t="shared" si="3"/>
        <v>0</v>
      </c>
      <c r="J23" s="76">
        <f t="shared" si="1"/>
        <v>0</v>
      </c>
      <c r="K23">
        <v>0</v>
      </c>
    </row>
    <row r="24" spans="1:11" ht="12">
      <c r="A24" t="s">
        <v>278</v>
      </c>
      <c r="B24">
        <v>4</v>
      </c>
      <c r="C24">
        <v>8</v>
      </c>
      <c r="D24">
        <v>21</v>
      </c>
      <c r="E24">
        <v>6</v>
      </c>
      <c r="F24">
        <v>14</v>
      </c>
      <c r="G24" s="13">
        <f>AVERAGE(B24:F24)</f>
        <v>10.6</v>
      </c>
      <c r="I24" s="13">
        <f t="shared" si="3"/>
        <v>0</v>
      </c>
      <c r="J24" s="76">
        <f t="shared" si="1"/>
        <v>0</v>
      </c>
      <c r="K24">
        <v>0</v>
      </c>
    </row>
    <row r="25" spans="1:11" ht="12">
      <c r="A25" t="s">
        <v>279</v>
      </c>
      <c r="B25">
        <v>7</v>
      </c>
      <c r="C25">
        <v>1</v>
      </c>
      <c r="D25">
        <v>1</v>
      </c>
      <c r="E25">
        <v>1</v>
      </c>
      <c r="F25" t="s">
        <v>155</v>
      </c>
      <c r="G25" s="13">
        <f>AVERAGE(B25:F25)</f>
        <v>2.5</v>
      </c>
      <c r="I25" s="13">
        <f t="shared" si="3"/>
        <v>0</v>
      </c>
      <c r="J25" s="76">
        <f t="shared" si="1"/>
        <v>0</v>
      </c>
      <c r="K25">
        <v>0</v>
      </c>
    </row>
    <row r="26" spans="1:11" ht="12">
      <c r="A26" t="s">
        <v>280</v>
      </c>
      <c r="B26">
        <v>9</v>
      </c>
      <c r="C26">
        <v>10</v>
      </c>
      <c r="D26">
        <v>13</v>
      </c>
      <c r="E26">
        <v>12</v>
      </c>
      <c r="F26">
        <v>41</v>
      </c>
      <c r="G26" s="13">
        <f>AVERAGE(B26:F26)</f>
        <v>17</v>
      </c>
      <c r="I26" s="13">
        <f t="shared" si="3"/>
        <v>0</v>
      </c>
      <c r="J26" s="76">
        <f t="shared" si="1"/>
        <v>0</v>
      </c>
      <c r="K26">
        <v>0</v>
      </c>
    </row>
    <row r="27" spans="1:11" ht="12">
      <c r="A27" t="s">
        <v>281</v>
      </c>
      <c r="B27" t="s">
        <v>155</v>
      </c>
      <c r="C27" t="s">
        <v>155</v>
      </c>
      <c r="D27" t="s">
        <v>155</v>
      </c>
      <c r="E27" t="s">
        <v>155</v>
      </c>
      <c r="F27" t="s">
        <v>155</v>
      </c>
      <c r="G27" s="13">
        <v>0</v>
      </c>
      <c r="I27" s="13">
        <f t="shared" si="3"/>
        <v>0</v>
      </c>
      <c r="J27" s="76">
        <f t="shared" si="1"/>
        <v>0</v>
      </c>
      <c r="K27">
        <v>0</v>
      </c>
    </row>
    <row r="28" spans="1:11" ht="12">
      <c r="A28" t="s">
        <v>283</v>
      </c>
      <c r="I28" s="13">
        <f t="shared" si="3"/>
        <v>0</v>
      </c>
      <c r="J28" s="76">
        <f t="shared" si="1"/>
        <v>0</v>
      </c>
      <c r="K28">
        <v>0</v>
      </c>
    </row>
    <row r="29" spans="1:11" ht="12">
      <c r="A29" t="s">
        <v>216</v>
      </c>
      <c r="B29">
        <v>828</v>
      </c>
      <c r="C29">
        <v>578</v>
      </c>
      <c r="D29">
        <v>506</v>
      </c>
      <c r="E29">
        <v>338</v>
      </c>
      <c r="F29">
        <v>321</v>
      </c>
      <c r="G29" s="13">
        <f>AVERAGE(B29:F29)</f>
        <v>514.2</v>
      </c>
      <c r="I29" s="13">
        <f t="shared" si="3"/>
        <v>0</v>
      </c>
      <c r="J29" s="76">
        <f t="shared" si="1"/>
        <v>0</v>
      </c>
      <c r="K29">
        <v>0</v>
      </c>
    </row>
    <row r="30" spans="1:11" ht="12">
      <c r="A30" t="s">
        <v>198</v>
      </c>
      <c r="B30" t="s">
        <v>155</v>
      </c>
      <c r="C30" t="s">
        <v>155</v>
      </c>
      <c r="D30" t="s">
        <v>155</v>
      </c>
      <c r="E30" t="s">
        <v>155</v>
      </c>
      <c r="F30" t="s">
        <v>155</v>
      </c>
      <c r="G30" s="13">
        <v>0</v>
      </c>
      <c r="I30" s="13">
        <f t="shared" si="3"/>
        <v>0</v>
      </c>
      <c r="J30" s="76">
        <f t="shared" si="1"/>
        <v>0</v>
      </c>
      <c r="K30">
        <v>0</v>
      </c>
    </row>
    <row r="31" spans="1:11" ht="12">
      <c r="A31" t="s">
        <v>199</v>
      </c>
      <c r="B31">
        <v>834</v>
      </c>
      <c r="C31">
        <v>646</v>
      </c>
      <c r="D31">
        <v>786</v>
      </c>
      <c r="E31">
        <v>537</v>
      </c>
      <c r="F31">
        <v>362</v>
      </c>
      <c r="G31" s="13">
        <f>AVERAGE(B31:F31)</f>
        <v>633</v>
      </c>
      <c r="I31" s="13">
        <f t="shared" si="3"/>
        <v>0</v>
      </c>
      <c r="J31" s="76">
        <f t="shared" si="1"/>
        <v>0</v>
      </c>
      <c r="K31">
        <v>0</v>
      </c>
    </row>
    <row r="32" spans="1:11" ht="12">
      <c r="A32" t="s">
        <v>200</v>
      </c>
      <c r="B32">
        <v>337</v>
      </c>
      <c r="C32">
        <v>231</v>
      </c>
      <c r="D32">
        <v>112</v>
      </c>
      <c r="E32">
        <v>59</v>
      </c>
      <c r="F32">
        <v>44</v>
      </c>
      <c r="G32" s="13">
        <f>AVERAGE(B32:F32)</f>
        <v>156.6</v>
      </c>
      <c r="I32" s="13">
        <f t="shared" si="3"/>
        <v>0</v>
      </c>
      <c r="J32" s="76">
        <f t="shared" si="1"/>
        <v>0</v>
      </c>
      <c r="K32">
        <v>0</v>
      </c>
    </row>
    <row r="33" spans="1:11" ht="12">
      <c r="A33" t="s">
        <v>202</v>
      </c>
      <c r="I33" s="13">
        <f t="shared" si="3"/>
        <v>0</v>
      </c>
      <c r="J33" s="76">
        <f t="shared" si="1"/>
        <v>0</v>
      </c>
      <c r="K33">
        <v>0</v>
      </c>
    </row>
    <row r="34" spans="1:11" ht="12">
      <c r="A34" t="s">
        <v>203</v>
      </c>
      <c r="I34" s="13">
        <f t="shared" si="3"/>
        <v>0</v>
      </c>
      <c r="J34" s="76">
        <f t="shared" si="1"/>
        <v>0</v>
      </c>
      <c r="K34">
        <v>0</v>
      </c>
    </row>
    <row r="35" spans="1:11" ht="12">
      <c r="A35" t="s">
        <v>217</v>
      </c>
      <c r="B35">
        <v>22</v>
      </c>
      <c r="C35">
        <v>29</v>
      </c>
      <c r="D35">
        <v>9</v>
      </c>
      <c r="E35">
        <v>19</v>
      </c>
      <c r="F35">
        <v>32</v>
      </c>
      <c r="G35" s="13">
        <f aca="true" t="shared" si="5" ref="G35:G47">AVERAGE(B35:F35)</f>
        <v>22.2</v>
      </c>
      <c r="I35" s="13">
        <f t="shared" si="3"/>
        <v>0</v>
      </c>
      <c r="J35" s="76">
        <f aca="true" t="shared" si="6" ref="J35:J66">I35*225/300*60</f>
        <v>0</v>
      </c>
      <c r="K35">
        <v>0</v>
      </c>
    </row>
    <row r="36" spans="1:11" ht="12">
      <c r="A36" t="s">
        <v>204</v>
      </c>
      <c r="B36">
        <v>199</v>
      </c>
      <c r="C36">
        <v>175</v>
      </c>
      <c r="D36">
        <v>135</v>
      </c>
      <c r="E36">
        <v>135</v>
      </c>
      <c r="F36">
        <v>117</v>
      </c>
      <c r="G36" s="13">
        <f t="shared" si="5"/>
        <v>152.2</v>
      </c>
      <c r="I36" s="13">
        <f aca="true" t="shared" si="7" ref="I36:I67">G36*H36</f>
        <v>0</v>
      </c>
      <c r="J36" s="76">
        <f t="shared" si="6"/>
        <v>0</v>
      </c>
      <c r="K36">
        <v>0</v>
      </c>
    </row>
    <row r="37" spans="1:11" ht="12">
      <c r="A37" t="s">
        <v>205</v>
      </c>
      <c r="B37">
        <v>180</v>
      </c>
      <c r="C37">
        <v>179</v>
      </c>
      <c r="D37">
        <v>217</v>
      </c>
      <c r="E37">
        <v>177</v>
      </c>
      <c r="F37">
        <v>227</v>
      </c>
      <c r="G37" s="13">
        <f t="shared" si="5"/>
        <v>196</v>
      </c>
      <c r="I37" s="13">
        <f t="shared" si="7"/>
        <v>0</v>
      </c>
      <c r="J37" s="76">
        <f t="shared" si="6"/>
        <v>0</v>
      </c>
      <c r="K37">
        <v>0</v>
      </c>
    </row>
    <row r="38" spans="1:11" ht="12">
      <c r="A38" t="s">
        <v>206</v>
      </c>
      <c r="B38">
        <v>101</v>
      </c>
      <c r="C38">
        <v>66</v>
      </c>
      <c r="D38">
        <v>87</v>
      </c>
      <c r="E38">
        <v>105</v>
      </c>
      <c r="F38">
        <v>95</v>
      </c>
      <c r="G38" s="13">
        <f t="shared" si="5"/>
        <v>90.8</v>
      </c>
      <c r="I38" s="13">
        <f t="shared" si="7"/>
        <v>0</v>
      </c>
      <c r="J38" s="76">
        <f t="shared" si="6"/>
        <v>0</v>
      </c>
      <c r="K38">
        <v>0</v>
      </c>
    </row>
    <row r="39" spans="1:11" ht="12">
      <c r="A39" t="s">
        <v>207</v>
      </c>
      <c r="B39">
        <v>32</v>
      </c>
      <c r="C39">
        <v>40</v>
      </c>
      <c r="D39">
        <v>26</v>
      </c>
      <c r="E39">
        <v>24</v>
      </c>
      <c r="F39">
        <v>26</v>
      </c>
      <c r="G39" s="13">
        <f t="shared" si="5"/>
        <v>29.6</v>
      </c>
      <c r="I39" s="13">
        <f t="shared" si="7"/>
        <v>0</v>
      </c>
      <c r="J39" s="76">
        <f t="shared" si="6"/>
        <v>0</v>
      </c>
      <c r="K39">
        <v>0</v>
      </c>
    </row>
    <row r="40" spans="1:11" ht="12">
      <c r="A40" t="s">
        <v>208</v>
      </c>
      <c r="B40">
        <v>292</v>
      </c>
      <c r="C40">
        <v>288</v>
      </c>
      <c r="D40">
        <v>221</v>
      </c>
      <c r="E40">
        <v>200</v>
      </c>
      <c r="F40">
        <v>178</v>
      </c>
      <c r="G40" s="13">
        <f t="shared" si="5"/>
        <v>235.8</v>
      </c>
      <c r="I40" s="13">
        <f t="shared" si="7"/>
        <v>0</v>
      </c>
      <c r="J40" s="76">
        <f t="shared" si="6"/>
        <v>0</v>
      </c>
      <c r="K40">
        <v>0</v>
      </c>
    </row>
    <row r="41" spans="1:11" ht="12">
      <c r="A41" t="s">
        <v>228</v>
      </c>
      <c r="B41" s="13">
        <v>4519</v>
      </c>
      <c r="G41" s="13">
        <f t="shared" si="5"/>
        <v>4519</v>
      </c>
      <c r="I41" s="13">
        <f t="shared" si="7"/>
        <v>0</v>
      </c>
      <c r="J41" s="76">
        <f t="shared" si="6"/>
        <v>0</v>
      </c>
      <c r="K41">
        <v>0</v>
      </c>
    </row>
    <row r="42" spans="1:11" ht="12">
      <c r="A42" t="s">
        <v>218</v>
      </c>
      <c r="B42">
        <v>849</v>
      </c>
      <c r="C42">
        <v>766</v>
      </c>
      <c r="D42">
        <v>652</v>
      </c>
      <c r="E42">
        <v>720</v>
      </c>
      <c r="F42" s="13">
        <v>1102</v>
      </c>
      <c r="G42" s="13">
        <f t="shared" si="5"/>
        <v>817.8</v>
      </c>
      <c r="I42" s="13">
        <f t="shared" si="7"/>
        <v>0</v>
      </c>
      <c r="J42" s="76">
        <f t="shared" si="6"/>
        <v>0</v>
      </c>
      <c r="K42">
        <v>0</v>
      </c>
    </row>
    <row r="43" spans="1:11" ht="12">
      <c r="A43" t="s">
        <v>229</v>
      </c>
      <c r="B43" t="s">
        <v>155</v>
      </c>
      <c r="C43" t="s">
        <v>155</v>
      </c>
      <c r="D43">
        <v>380</v>
      </c>
      <c r="E43">
        <v>436</v>
      </c>
      <c r="F43">
        <v>504</v>
      </c>
      <c r="G43" s="13">
        <f t="shared" si="5"/>
        <v>440</v>
      </c>
      <c r="I43" s="13">
        <f t="shared" si="7"/>
        <v>0</v>
      </c>
      <c r="J43" s="76">
        <f t="shared" si="6"/>
        <v>0</v>
      </c>
      <c r="K43">
        <v>0</v>
      </c>
    </row>
    <row r="44" spans="1:11" ht="12">
      <c r="A44" t="s">
        <v>239</v>
      </c>
      <c r="B44">
        <v>77</v>
      </c>
      <c r="C44">
        <v>43</v>
      </c>
      <c r="D44">
        <v>45</v>
      </c>
      <c r="E44" t="s">
        <v>155</v>
      </c>
      <c r="F44" t="s">
        <v>240</v>
      </c>
      <c r="G44" s="13">
        <f t="shared" si="5"/>
        <v>55</v>
      </c>
      <c r="I44" s="13">
        <f t="shared" si="7"/>
        <v>0</v>
      </c>
      <c r="J44" s="76">
        <f t="shared" si="6"/>
        <v>0</v>
      </c>
      <c r="K44">
        <v>0</v>
      </c>
    </row>
    <row r="45" spans="1:11" ht="12">
      <c r="A45" t="s">
        <v>242</v>
      </c>
      <c r="B45">
        <v>808</v>
      </c>
      <c r="C45">
        <v>884</v>
      </c>
      <c r="D45">
        <v>896</v>
      </c>
      <c r="E45">
        <v>753</v>
      </c>
      <c r="F45">
        <v>696</v>
      </c>
      <c r="G45" s="13">
        <f t="shared" si="5"/>
        <v>807.4</v>
      </c>
      <c r="I45" s="13">
        <f t="shared" si="7"/>
        <v>0</v>
      </c>
      <c r="J45" s="76">
        <f t="shared" si="6"/>
        <v>0</v>
      </c>
      <c r="K45">
        <v>0</v>
      </c>
    </row>
    <row r="46" spans="1:11" ht="12">
      <c r="A46" t="s">
        <v>255</v>
      </c>
      <c r="B46" s="13">
        <v>1408</v>
      </c>
      <c r="G46" s="13">
        <f t="shared" si="5"/>
        <v>1408</v>
      </c>
      <c r="I46" s="13">
        <f t="shared" si="7"/>
        <v>0</v>
      </c>
      <c r="J46" s="76">
        <f t="shared" si="6"/>
        <v>0</v>
      </c>
      <c r="K46">
        <v>0</v>
      </c>
    </row>
    <row r="47" spans="1:11" ht="12">
      <c r="A47" t="s">
        <v>256</v>
      </c>
      <c r="B47">
        <v>43</v>
      </c>
      <c r="C47">
        <v>55</v>
      </c>
      <c r="D47">
        <v>66</v>
      </c>
      <c r="E47">
        <v>37</v>
      </c>
      <c r="F47">
        <v>56</v>
      </c>
      <c r="G47" s="13">
        <f t="shared" si="5"/>
        <v>51.4</v>
      </c>
      <c r="I47" s="13">
        <f t="shared" si="7"/>
        <v>0</v>
      </c>
      <c r="J47" s="76">
        <f t="shared" si="6"/>
        <v>0</v>
      </c>
      <c r="K47">
        <v>0</v>
      </c>
    </row>
    <row r="48" spans="1:11" ht="12">
      <c r="A48" t="s">
        <v>257</v>
      </c>
      <c r="I48" s="13">
        <f t="shared" si="7"/>
        <v>0</v>
      </c>
      <c r="J48" s="76">
        <f t="shared" si="6"/>
        <v>0</v>
      </c>
      <c r="K48">
        <v>0</v>
      </c>
    </row>
    <row r="49" spans="1:11" ht="12">
      <c r="A49" t="s">
        <v>258</v>
      </c>
      <c r="B49">
        <v>325</v>
      </c>
      <c r="C49">
        <v>318</v>
      </c>
      <c r="D49">
        <v>297</v>
      </c>
      <c r="E49" t="s">
        <v>155</v>
      </c>
      <c r="F49" t="s">
        <v>155</v>
      </c>
      <c r="G49" s="13">
        <f aca="true" t="shared" si="8" ref="G49:G56">AVERAGE(B49:F49)</f>
        <v>313.3333333333333</v>
      </c>
      <c r="I49" s="13">
        <f t="shared" si="7"/>
        <v>0</v>
      </c>
      <c r="J49" s="76">
        <f t="shared" si="6"/>
        <v>0</v>
      </c>
      <c r="K49">
        <v>0</v>
      </c>
    </row>
    <row r="50" spans="1:11" ht="12">
      <c r="A50" t="s">
        <v>259</v>
      </c>
      <c r="B50">
        <v>167</v>
      </c>
      <c r="C50">
        <v>193</v>
      </c>
      <c r="D50">
        <v>156</v>
      </c>
      <c r="E50" t="s">
        <v>155</v>
      </c>
      <c r="F50" t="s">
        <v>155</v>
      </c>
      <c r="G50" s="13">
        <f t="shared" si="8"/>
        <v>172</v>
      </c>
      <c r="I50" s="13">
        <f t="shared" si="7"/>
        <v>0</v>
      </c>
      <c r="J50" s="76">
        <f t="shared" si="6"/>
        <v>0</v>
      </c>
      <c r="K50">
        <v>0</v>
      </c>
    </row>
    <row r="51" spans="1:11" ht="12">
      <c r="A51" t="s">
        <v>156</v>
      </c>
      <c r="B51">
        <v>35</v>
      </c>
      <c r="C51">
        <v>32</v>
      </c>
      <c r="D51">
        <v>27</v>
      </c>
      <c r="E51" t="s">
        <v>155</v>
      </c>
      <c r="F51" t="s">
        <v>155</v>
      </c>
      <c r="G51" s="13">
        <f t="shared" si="8"/>
        <v>31.333333333333332</v>
      </c>
      <c r="I51" s="13">
        <f t="shared" si="7"/>
        <v>0</v>
      </c>
      <c r="J51" s="76">
        <f t="shared" si="6"/>
        <v>0</v>
      </c>
      <c r="K51">
        <v>0</v>
      </c>
    </row>
    <row r="52" spans="1:11" ht="12">
      <c r="A52" t="s">
        <v>157</v>
      </c>
      <c r="B52">
        <v>550</v>
      </c>
      <c r="C52">
        <v>651</v>
      </c>
      <c r="D52">
        <v>765</v>
      </c>
      <c r="E52" t="s">
        <v>155</v>
      </c>
      <c r="F52" t="s">
        <v>155</v>
      </c>
      <c r="G52" s="13">
        <f t="shared" si="8"/>
        <v>655.3333333333334</v>
      </c>
      <c r="I52" s="13">
        <f t="shared" si="7"/>
        <v>0</v>
      </c>
      <c r="J52" s="76">
        <f t="shared" si="6"/>
        <v>0</v>
      </c>
      <c r="K52">
        <v>0</v>
      </c>
    </row>
    <row r="53" spans="1:11" ht="12">
      <c r="A53" t="s">
        <v>158</v>
      </c>
      <c r="B53">
        <v>800</v>
      </c>
      <c r="C53" s="13">
        <v>6584</v>
      </c>
      <c r="D53" s="13">
        <v>314</v>
      </c>
      <c r="E53">
        <v>258</v>
      </c>
      <c r="F53">
        <v>231</v>
      </c>
      <c r="G53" s="13">
        <f t="shared" si="8"/>
        <v>1637.4</v>
      </c>
      <c r="I53" s="13">
        <f t="shared" si="7"/>
        <v>0</v>
      </c>
      <c r="J53" s="76">
        <f t="shared" si="6"/>
        <v>0</v>
      </c>
      <c r="K53">
        <v>0</v>
      </c>
    </row>
    <row r="54" spans="1:11" ht="12">
      <c r="A54" t="s">
        <v>159</v>
      </c>
      <c r="B54">
        <v>4</v>
      </c>
      <c r="C54" t="s">
        <v>240</v>
      </c>
      <c r="D54" t="s">
        <v>240</v>
      </c>
      <c r="E54" t="s">
        <v>240</v>
      </c>
      <c r="F54" t="s">
        <v>240</v>
      </c>
      <c r="G54" s="13">
        <f t="shared" si="8"/>
        <v>4</v>
      </c>
      <c r="I54" s="13">
        <f t="shared" si="7"/>
        <v>0</v>
      </c>
      <c r="J54" s="76">
        <f t="shared" si="6"/>
        <v>0</v>
      </c>
      <c r="K54">
        <v>0</v>
      </c>
    </row>
    <row r="55" spans="1:11" ht="12">
      <c r="A55" t="s">
        <v>160</v>
      </c>
      <c r="B55">
        <v>7</v>
      </c>
      <c r="C55">
        <v>17</v>
      </c>
      <c r="D55">
        <v>8</v>
      </c>
      <c r="E55">
        <v>3</v>
      </c>
      <c r="F55">
        <v>1</v>
      </c>
      <c r="G55" s="13">
        <f t="shared" si="8"/>
        <v>7.2</v>
      </c>
      <c r="I55" s="13">
        <f t="shared" si="7"/>
        <v>0</v>
      </c>
      <c r="J55" s="76">
        <f t="shared" si="6"/>
        <v>0</v>
      </c>
      <c r="K55">
        <v>0</v>
      </c>
    </row>
    <row r="56" spans="1:11" ht="12">
      <c r="A56" t="s">
        <v>161</v>
      </c>
      <c r="B56" t="s">
        <v>155</v>
      </c>
      <c r="C56" t="s">
        <v>155</v>
      </c>
      <c r="D56">
        <v>1</v>
      </c>
      <c r="E56" t="s">
        <v>155</v>
      </c>
      <c r="F56" t="s">
        <v>155</v>
      </c>
      <c r="G56" s="13">
        <f t="shared" si="8"/>
        <v>1</v>
      </c>
      <c r="I56" s="13">
        <f t="shared" si="7"/>
        <v>0</v>
      </c>
      <c r="J56" s="76">
        <f t="shared" si="6"/>
        <v>0</v>
      </c>
      <c r="K56">
        <v>0</v>
      </c>
    </row>
    <row r="57" spans="1:11" ht="12">
      <c r="A57" t="s">
        <v>175</v>
      </c>
      <c r="B57" t="s">
        <v>155</v>
      </c>
      <c r="C57" t="s">
        <v>240</v>
      </c>
      <c r="D57" t="s">
        <v>240</v>
      </c>
      <c r="E57" t="s">
        <v>240</v>
      </c>
      <c r="F57" t="s">
        <v>240</v>
      </c>
      <c r="G57" s="13">
        <v>0</v>
      </c>
      <c r="I57" s="13">
        <f t="shared" si="7"/>
        <v>0</v>
      </c>
      <c r="J57" s="76">
        <f t="shared" si="6"/>
        <v>0</v>
      </c>
      <c r="K57">
        <v>0</v>
      </c>
    </row>
    <row r="58" spans="1:11" ht="12">
      <c r="A58" t="s">
        <v>176</v>
      </c>
      <c r="B58">
        <v>12</v>
      </c>
      <c r="C58">
        <v>21</v>
      </c>
      <c r="D58">
        <v>16</v>
      </c>
      <c r="E58">
        <v>12</v>
      </c>
      <c r="F58">
        <v>12</v>
      </c>
      <c r="G58" s="13">
        <f>AVERAGE(B58:F58)</f>
        <v>14.6</v>
      </c>
      <c r="I58" s="13">
        <f t="shared" si="7"/>
        <v>0</v>
      </c>
      <c r="J58" s="76">
        <f t="shared" si="6"/>
        <v>0</v>
      </c>
      <c r="K58">
        <v>0</v>
      </c>
    </row>
    <row r="59" spans="1:11" ht="12">
      <c r="A59" t="s">
        <v>177</v>
      </c>
      <c r="B59">
        <v>171</v>
      </c>
      <c r="C59">
        <v>169</v>
      </c>
      <c r="D59">
        <v>136</v>
      </c>
      <c r="E59">
        <v>70</v>
      </c>
      <c r="F59">
        <v>71</v>
      </c>
      <c r="G59" s="13">
        <f>AVERAGE(B59:F59)</f>
        <v>123.4</v>
      </c>
      <c r="I59" s="13">
        <f t="shared" si="7"/>
        <v>0</v>
      </c>
      <c r="J59" s="76">
        <f t="shared" si="6"/>
        <v>0</v>
      </c>
      <c r="K59">
        <v>0</v>
      </c>
    </row>
    <row r="60" spans="1:11" ht="12">
      <c r="A60" t="s">
        <v>178</v>
      </c>
      <c r="B60" t="s">
        <v>155</v>
      </c>
      <c r="C60" t="s">
        <v>155</v>
      </c>
      <c r="D60" t="s">
        <v>155</v>
      </c>
      <c r="E60" t="s">
        <v>155</v>
      </c>
      <c r="F60" t="s">
        <v>155</v>
      </c>
      <c r="G60" s="13">
        <v>0</v>
      </c>
      <c r="I60" s="13">
        <f t="shared" si="7"/>
        <v>0</v>
      </c>
      <c r="J60" s="76">
        <f t="shared" si="6"/>
        <v>0</v>
      </c>
      <c r="K60">
        <v>0</v>
      </c>
    </row>
    <row r="61" spans="1:11" ht="12">
      <c r="A61" t="s">
        <v>179</v>
      </c>
      <c r="B61" t="s">
        <v>155</v>
      </c>
      <c r="C61" t="s">
        <v>155</v>
      </c>
      <c r="D61" t="s">
        <v>155</v>
      </c>
      <c r="E61" t="s">
        <v>155</v>
      </c>
      <c r="F61" t="s">
        <v>155</v>
      </c>
      <c r="G61" s="13">
        <v>0</v>
      </c>
      <c r="I61" s="13">
        <f t="shared" si="7"/>
        <v>0</v>
      </c>
      <c r="J61" s="76">
        <f t="shared" si="6"/>
        <v>0</v>
      </c>
      <c r="K61">
        <v>0</v>
      </c>
    </row>
    <row r="62" spans="1:11" ht="12">
      <c r="A62" t="s">
        <v>180</v>
      </c>
      <c r="B62">
        <v>1</v>
      </c>
      <c r="C62">
        <v>3</v>
      </c>
      <c r="D62">
        <v>2</v>
      </c>
      <c r="E62">
        <v>7</v>
      </c>
      <c r="F62">
        <v>2</v>
      </c>
      <c r="G62" s="13">
        <f>AVERAGE(B62:F62)</f>
        <v>3</v>
      </c>
      <c r="I62" s="13">
        <f t="shared" si="7"/>
        <v>0</v>
      </c>
      <c r="J62" s="76">
        <f t="shared" si="6"/>
        <v>0</v>
      </c>
      <c r="K62">
        <v>0</v>
      </c>
    </row>
    <row r="63" spans="1:11" ht="12">
      <c r="A63" t="s">
        <v>261</v>
      </c>
      <c r="B63">
        <v>12</v>
      </c>
      <c r="C63">
        <v>11</v>
      </c>
      <c r="D63">
        <v>11</v>
      </c>
      <c r="E63">
        <v>10</v>
      </c>
      <c r="F63">
        <v>7</v>
      </c>
      <c r="G63" s="13">
        <f>AVERAGE(B63:F63)</f>
        <v>10.2</v>
      </c>
      <c r="I63" s="13">
        <f t="shared" si="7"/>
        <v>0</v>
      </c>
      <c r="J63" s="76">
        <f t="shared" si="6"/>
        <v>0</v>
      </c>
      <c r="K63">
        <v>0</v>
      </c>
    </row>
    <row r="64" spans="1:11" ht="12">
      <c r="A64" t="s">
        <v>262</v>
      </c>
      <c r="B64" t="s">
        <v>155</v>
      </c>
      <c r="C64">
        <v>1</v>
      </c>
      <c r="D64">
        <v>1</v>
      </c>
      <c r="E64" t="s">
        <v>155</v>
      </c>
      <c r="F64">
        <v>1</v>
      </c>
      <c r="G64" s="13">
        <f>AVERAGE(B64:F64)</f>
        <v>1</v>
      </c>
      <c r="I64" s="13">
        <f t="shared" si="7"/>
        <v>0</v>
      </c>
      <c r="J64" s="76">
        <f t="shared" si="6"/>
        <v>0</v>
      </c>
      <c r="K64">
        <v>0</v>
      </c>
    </row>
    <row r="65" spans="1:11" ht="12">
      <c r="A65" t="s">
        <v>263</v>
      </c>
      <c r="B65" t="s">
        <v>155</v>
      </c>
      <c r="C65" t="s">
        <v>155</v>
      </c>
      <c r="D65" t="s">
        <v>155</v>
      </c>
      <c r="E65" t="s">
        <v>155</v>
      </c>
      <c r="F65">
        <v>8</v>
      </c>
      <c r="G65" s="13">
        <f>AVERAGE(B65:F65)</f>
        <v>8</v>
      </c>
      <c r="I65" s="13">
        <f t="shared" si="7"/>
        <v>0</v>
      </c>
      <c r="J65" s="76">
        <f t="shared" si="6"/>
        <v>0</v>
      </c>
      <c r="K65">
        <v>0</v>
      </c>
    </row>
    <row r="66" spans="1:11" ht="12">
      <c r="A66" t="s">
        <v>266</v>
      </c>
      <c r="B66" t="s">
        <v>155</v>
      </c>
      <c r="C66" t="s">
        <v>155</v>
      </c>
      <c r="D66" t="s">
        <v>155</v>
      </c>
      <c r="E66" t="s">
        <v>155</v>
      </c>
      <c r="F66" t="s">
        <v>155</v>
      </c>
      <c r="G66" s="13">
        <v>0</v>
      </c>
      <c r="I66" s="13">
        <f t="shared" si="7"/>
        <v>0</v>
      </c>
      <c r="J66" s="76">
        <f t="shared" si="6"/>
        <v>0</v>
      </c>
      <c r="K66">
        <v>0</v>
      </c>
    </row>
    <row r="67" spans="1:11" ht="12">
      <c r="A67" t="s">
        <v>267</v>
      </c>
      <c r="B67">
        <v>132</v>
      </c>
      <c r="C67">
        <v>125</v>
      </c>
      <c r="D67">
        <v>129</v>
      </c>
      <c r="E67">
        <v>132</v>
      </c>
      <c r="F67">
        <v>161</v>
      </c>
      <c r="G67" s="13">
        <f aca="true" t="shared" si="9" ref="G67:G75">AVERAGE(B67:F67)</f>
        <v>135.8</v>
      </c>
      <c r="I67" s="13">
        <f t="shared" si="7"/>
        <v>0</v>
      </c>
      <c r="J67" s="76">
        <f aca="true" t="shared" si="10" ref="J67:J75">I67*225/300*60</f>
        <v>0</v>
      </c>
      <c r="K67">
        <v>0</v>
      </c>
    </row>
    <row r="68" spans="1:11" ht="12">
      <c r="A68" t="s">
        <v>268</v>
      </c>
      <c r="B68">
        <v>430</v>
      </c>
      <c r="C68">
        <v>349</v>
      </c>
      <c r="D68">
        <v>329</v>
      </c>
      <c r="E68">
        <v>353</v>
      </c>
      <c r="F68">
        <v>413</v>
      </c>
      <c r="G68" s="13">
        <f t="shared" si="9"/>
        <v>374.8</v>
      </c>
      <c r="I68" s="13">
        <f aca="true" t="shared" si="11" ref="I68:I76">G68*H68</f>
        <v>0</v>
      </c>
      <c r="J68" s="76">
        <f t="shared" si="10"/>
        <v>0</v>
      </c>
      <c r="K68">
        <v>0</v>
      </c>
    </row>
    <row r="69" spans="1:11" ht="12">
      <c r="A69" t="s">
        <v>269</v>
      </c>
      <c r="B69">
        <v>28</v>
      </c>
      <c r="C69">
        <v>41</v>
      </c>
      <c r="D69">
        <v>27</v>
      </c>
      <c r="E69">
        <v>34</v>
      </c>
      <c r="F69">
        <v>20</v>
      </c>
      <c r="G69" s="13">
        <f t="shared" si="9"/>
        <v>30</v>
      </c>
      <c r="I69" s="13">
        <f t="shared" si="11"/>
        <v>0</v>
      </c>
      <c r="J69" s="76">
        <f t="shared" si="10"/>
        <v>0</v>
      </c>
      <c r="K69">
        <v>0</v>
      </c>
    </row>
    <row r="70" spans="1:11" ht="12">
      <c r="A70" t="s">
        <v>270</v>
      </c>
      <c r="B70">
        <v>92</v>
      </c>
      <c r="C70">
        <v>101</v>
      </c>
      <c r="D70">
        <v>90</v>
      </c>
      <c r="E70">
        <v>95</v>
      </c>
      <c r="F70">
        <v>133</v>
      </c>
      <c r="G70" s="13">
        <f t="shared" si="9"/>
        <v>102.2</v>
      </c>
      <c r="I70" s="13">
        <f t="shared" si="11"/>
        <v>0</v>
      </c>
      <c r="J70" s="76">
        <f t="shared" si="10"/>
        <v>0</v>
      </c>
      <c r="K70">
        <v>0</v>
      </c>
    </row>
    <row r="71" spans="1:11" ht="12">
      <c r="A71" t="s">
        <v>271</v>
      </c>
      <c r="B71">
        <v>5</v>
      </c>
      <c r="C71">
        <v>15</v>
      </c>
      <c r="D71">
        <v>16</v>
      </c>
      <c r="E71">
        <v>5</v>
      </c>
      <c r="F71">
        <v>6</v>
      </c>
      <c r="G71" s="13">
        <f t="shared" si="9"/>
        <v>9.4</v>
      </c>
      <c r="I71" s="13">
        <f t="shared" si="11"/>
        <v>0</v>
      </c>
      <c r="J71" s="76">
        <f t="shared" si="10"/>
        <v>0</v>
      </c>
      <c r="K71">
        <v>0</v>
      </c>
    </row>
    <row r="72" spans="1:11" ht="12">
      <c r="A72" t="s">
        <v>272</v>
      </c>
      <c r="B72">
        <v>137</v>
      </c>
      <c r="C72">
        <v>95</v>
      </c>
      <c r="D72">
        <v>154</v>
      </c>
      <c r="E72">
        <v>134</v>
      </c>
      <c r="F72">
        <v>129</v>
      </c>
      <c r="G72" s="13">
        <f t="shared" si="9"/>
        <v>129.8</v>
      </c>
      <c r="I72" s="13">
        <f t="shared" si="11"/>
        <v>0</v>
      </c>
      <c r="J72" s="76">
        <f t="shared" si="10"/>
        <v>0</v>
      </c>
      <c r="K72">
        <v>0</v>
      </c>
    </row>
    <row r="73" spans="1:11" ht="12">
      <c r="A73" t="s">
        <v>273</v>
      </c>
      <c r="B73">
        <v>434</v>
      </c>
      <c r="C73">
        <v>353</v>
      </c>
      <c r="D73">
        <v>324</v>
      </c>
      <c r="E73">
        <v>322</v>
      </c>
      <c r="F73">
        <v>356</v>
      </c>
      <c r="G73" s="13">
        <f t="shared" si="9"/>
        <v>357.8</v>
      </c>
      <c r="I73" s="13">
        <f t="shared" si="11"/>
        <v>0</v>
      </c>
      <c r="J73" s="76">
        <f t="shared" si="10"/>
        <v>0</v>
      </c>
      <c r="K73">
        <v>0</v>
      </c>
    </row>
    <row r="74" spans="1:11" ht="12">
      <c r="A74" t="s">
        <v>211</v>
      </c>
      <c r="B74">
        <v>37</v>
      </c>
      <c r="C74">
        <v>6</v>
      </c>
      <c r="D74">
        <v>2</v>
      </c>
      <c r="E74" t="s">
        <v>155</v>
      </c>
      <c r="F74" t="s">
        <v>240</v>
      </c>
      <c r="G74" s="13">
        <f t="shared" si="9"/>
        <v>15</v>
      </c>
      <c r="I74" s="13">
        <f t="shared" si="11"/>
        <v>0</v>
      </c>
      <c r="J74" s="76">
        <f t="shared" si="10"/>
        <v>0</v>
      </c>
      <c r="K74">
        <v>0</v>
      </c>
    </row>
    <row r="75" spans="1:11" ht="12">
      <c r="A75" t="s">
        <v>212</v>
      </c>
      <c r="B75">
        <v>2</v>
      </c>
      <c r="C75">
        <v>1</v>
      </c>
      <c r="D75">
        <v>3</v>
      </c>
      <c r="E75">
        <v>1</v>
      </c>
      <c r="F75" t="s">
        <v>240</v>
      </c>
      <c r="G75" s="13">
        <f t="shared" si="9"/>
        <v>1.75</v>
      </c>
      <c r="I75" s="13">
        <f t="shared" si="11"/>
        <v>0</v>
      </c>
      <c r="J75" s="76">
        <f t="shared" si="10"/>
        <v>0</v>
      </c>
      <c r="K75">
        <v>0</v>
      </c>
    </row>
    <row r="76" spans="1:11" ht="12.75" thickBot="1">
      <c r="A76" s="74" t="s">
        <v>214</v>
      </c>
      <c r="B76" s="74" t="s">
        <v>155</v>
      </c>
      <c r="C76" s="74" t="s">
        <v>155</v>
      </c>
      <c r="D76" s="74" t="s">
        <v>155</v>
      </c>
      <c r="E76" s="74" t="s">
        <v>155</v>
      </c>
      <c r="F76" s="74" t="s">
        <v>215</v>
      </c>
      <c r="G76" s="75">
        <v>0</v>
      </c>
      <c r="H76" s="74"/>
      <c r="I76" s="75">
        <f t="shared" si="11"/>
        <v>0</v>
      </c>
      <c r="J76" s="75">
        <v>0</v>
      </c>
      <c r="K76" s="74">
        <v>0</v>
      </c>
    </row>
    <row r="77" spans="1:11" ht="12">
      <c r="A77" t="s">
        <v>219</v>
      </c>
      <c r="G77" s="13">
        <f>SUM(G4:G76)</f>
        <v>124211.44999999997</v>
      </c>
      <c r="I77" s="13">
        <f>SUM(I4:I76)</f>
        <v>109335.4</v>
      </c>
      <c r="J77" s="76">
        <f>I77*225/300*60</f>
        <v>4920093</v>
      </c>
      <c r="K77">
        <f>SUM(K4:K76)</f>
        <v>0</v>
      </c>
    </row>
    <row r="79" ht="12">
      <c r="A79" t="s">
        <v>220</v>
      </c>
    </row>
    <row r="80" ht="12">
      <c r="A80" t="s">
        <v>248</v>
      </c>
    </row>
    <row r="82" ht="12">
      <c r="A82" t="s">
        <v>231</v>
      </c>
    </row>
    <row r="83" ht="12">
      <c r="A83" t="s">
        <v>251</v>
      </c>
    </row>
    <row r="84" ht="12">
      <c r="A84" t="s">
        <v>249</v>
      </c>
    </row>
    <row r="85" ht="12">
      <c r="A85" t="s">
        <v>254</v>
      </c>
    </row>
    <row r="86" ht="12">
      <c r="A86" t="s">
        <v>232</v>
      </c>
    </row>
  </sheetData>
  <mergeCells count="5">
    <mergeCell ref="H1:H2"/>
    <mergeCell ref="I1:I2"/>
    <mergeCell ref="K1:K2"/>
    <mergeCell ref="G1:G2"/>
    <mergeCell ref="J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5" sqref="E5:G5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131</v>
      </c>
    </row>
    <row r="2" ht="12.75">
      <c r="B2" s="3" t="s">
        <v>132</v>
      </c>
    </row>
    <row r="4" ht="12.75">
      <c r="B4" s="2" t="s">
        <v>133</v>
      </c>
    </row>
    <row r="5" spans="1:7" s="5" customFormat="1" ht="12.75">
      <c r="A5" s="4"/>
      <c r="B5" s="5" t="s">
        <v>134</v>
      </c>
      <c r="C5" s="4" t="s">
        <v>135</v>
      </c>
      <c r="E5" t="s">
        <v>144</v>
      </c>
      <c r="F5" t="s">
        <v>145</v>
      </c>
      <c r="G5" t="s">
        <v>146</v>
      </c>
    </row>
    <row r="7" spans="2:4" ht="12.75">
      <c r="B7" s="3" t="s">
        <v>136</v>
      </c>
      <c r="C7" s="1">
        <f>1000*1000</f>
        <v>1000000</v>
      </c>
      <c r="D7" s="3" t="s">
        <v>137</v>
      </c>
    </row>
    <row r="8" spans="2:4" ht="12.75">
      <c r="B8" s="3" t="s">
        <v>138</v>
      </c>
      <c r="C8" s="1">
        <v>100</v>
      </c>
      <c r="D8" s="3" t="s">
        <v>139</v>
      </c>
    </row>
    <row r="9" spans="2:4" ht="12.75">
      <c r="B9" s="3" t="s">
        <v>68</v>
      </c>
      <c r="C9" s="1">
        <v>5</v>
      </c>
      <c r="D9" s="3" t="s">
        <v>69</v>
      </c>
    </row>
    <row r="10" spans="2:4" ht="12.75">
      <c r="B10" s="3" t="s">
        <v>70</v>
      </c>
      <c r="C10" s="1">
        <f>150*1000</f>
        <v>150000</v>
      </c>
      <c r="D10" s="3" t="s">
        <v>71</v>
      </c>
    </row>
    <row r="12" ht="12.75">
      <c r="B12" s="2" t="s">
        <v>72</v>
      </c>
    </row>
    <row r="13" spans="2:4" ht="12.75">
      <c r="B13" s="2"/>
      <c r="C13" s="4" t="s">
        <v>162</v>
      </c>
      <c r="D13" s="12" t="s">
        <v>163</v>
      </c>
    </row>
    <row r="14" spans="1:3" s="5" customFormat="1" ht="12.75">
      <c r="A14" s="4"/>
      <c r="B14" s="5" t="s">
        <v>164</v>
      </c>
      <c r="C14" s="4" t="s">
        <v>165</v>
      </c>
    </row>
    <row r="16" spans="2:4" ht="12.75">
      <c r="B16" s="3" t="s">
        <v>166</v>
      </c>
      <c r="C16" s="6">
        <v>1</v>
      </c>
      <c r="D16" s="3" t="s">
        <v>74</v>
      </c>
    </row>
    <row r="17" spans="2:4" ht="12.75">
      <c r="B17" s="3" t="s">
        <v>75</v>
      </c>
      <c r="C17" s="1">
        <v>50</v>
      </c>
      <c r="D17" s="3" t="s">
        <v>76</v>
      </c>
    </row>
    <row r="18" spans="2:4" ht="12.75">
      <c r="B18" s="3" t="s">
        <v>77</v>
      </c>
      <c r="C18" s="1">
        <v>400</v>
      </c>
      <c r="D18" s="3" t="s">
        <v>78</v>
      </c>
    </row>
    <row r="19" spans="2:4" ht="12.75">
      <c r="B19" s="3" t="s">
        <v>197</v>
      </c>
      <c r="C19" s="1">
        <f>C9/(0.1)</f>
        <v>50</v>
      </c>
      <c r="D19" s="3" t="s">
        <v>106</v>
      </c>
    </row>
    <row r="20" spans="2:4" ht="12.75">
      <c r="B20" s="3" t="s">
        <v>107</v>
      </c>
      <c r="C20" s="1">
        <f>C8/(0.1)</f>
        <v>1000</v>
      </c>
      <c r="D20" s="3" t="s">
        <v>108</v>
      </c>
    </row>
    <row r="21" spans="2:4" ht="12.75">
      <c r="B21" s="3" t="s">
        <v>109</v>
      </c>
      <c r="C21" s="1">
        <v>4500</v>
      </c>
      <c r="D21" s="3" t="s">
        <v>110</v>
      </c>
    </row>
    <row r="22" spans="2:4" ht="12.75">
      <c r="B22" s="3" t="s">
        <v>111</v>
      </c>
      <c r="C22" s="1">
        <f>AVERAGE(C19:C21)</f>
        <v>1850</v>
      </c>
      <c r="D22" s="3" t="s">
        <v>105</v>
      </c>
    </row>
    <row r="23" spans="2:4" ht="12.75">
      <c r="B23" s="3" t="s">
        <v>12</v>
      </c>
      <c r="C23" s="1">
        <v>4000</v>
      </c>
      <c r="D23" s="3" t="s">
        <v>78</v>
      </c>
    </row>
    <row r="24" spans="2:4" ht="12.75">
      <c r="B24" s="3" t="s">
        <v>243</v>
      </c>
      <c r="C24" s="1">
        <f>(C10*2)/(120/1000)</f>
        <v>2500000</v>
      </c>
      <c r="D24" s="3" t="s">
        <v>244</v>
      </c>
    </row>
    <row r="25" spans="2:4" ht="12.75">
      <c r="B25" s="3" t="s">
        <v>245</v>
      </c>
      <c r="C25" s="1">
        <v>3000000</v>
      </c>
      <c r="D25" s="3" t="s">
        <v>246</v>
      </c>
    </row>
    <row r="26" spans="2:4" ht="12.75">
      <c r="B26" s="3" t="s">
        <v>245</v>
      </c>
      <c r="C26" s="1">
        <f>C7/0.2</f>
        <v>5000000</v>
      </c>
      <c r="D26" s="3" t="s">
        <v>116</v>
      </c>
    </row>
    <row r="27" spans="2:4" ht="12.75">
      <c r="B27" s="3" t="s">
        <v>117</v>
      </c>
      <c r="C27" s="1">
        <f>C7/(25/1000)</f>
        <v>40000000</v>
      </c>
      <c r="D27" s="3" t="s">
        <v>13</v>
      </c>
    </row>
    <row r="28" spans="2:4" ht="12.75">
      <c r="B28" s="3" t="s">
        <v>63</v>
      </c>
      <c r="C28" s="1">
        <v>1000000000</v>
      </c>
      <c r="D28" s="3" t="s">
        <v>64</v>
      </c>
    </row>
    <row r="30" ht="12.75">
      <c r="B30" s="7" t="s">
        <v>14</v>
      </c>
    </row>
    <row r="31" spans="2:4" ht="12.75">
      <c r="B31" s="3" t="s">
        <v>15</v>
      </c>
      <c r="C31" s="1" t="s">
        <v>16</v>
      </c>
      <c r="D31" s="3" t="s">
        <v>17</v>
      </c>
    </row>
    <row r="33" spans="2:4" ht="25.5">
      <c r="B33" s="8" t="s">
        <v>210</v>
      </c>
      <c r="C33" s="10">
        <f>C19/C18</f>
        <v>0.125</v>
      </c>
      <c r="D33" s="8" t="s">
        <v>112</v>
      </c>
    </row>
    <row r="34" spans="2:4" ht="25.5">
      <c r="B34" s="8" t="s">
        <v>113</v>
      </c>
      <c r="C34" s="11">
        <f>C23/C22</f>
        <v>2.1621621621621623</v>
      </c>
      <c r="D34" s="3" t="s">
        <v>114</v>
      </c>
    </row>
    <row r="35" spans="2:4" ht="25.5">
      <c r="B35" s="8" t="s">
        <v>115</v>
      </c>
      <c r="C35" s="9">
        <f>C26/C19</f>
        <v>100000</v>
      </c>
      <c r="D35" s="3" t="s">
        <v>30</v>
      </c>
    </row>
    <row r="36" spans="2:4" ht="25.5">
      <c r="B36" s="8" t="s">
        <v>31</v>
      </c>
      <c r="C36" s="9">
        <f>C26/C20</f>
        <v>5000</v>
      </c>
      <c r="D36" s="3" t="s">
        <v>230</v>
      </c>
    </row>
    <row r="37" spans="2:4" ht="25.5">
      <c r="B37" s="8" t="s">
        <v>236</v>
      </c>
      <c r="C37" s="1">
        <f>C26/C22</f>
        <v>2702.7027027027025</v>
      </c>
      <c r="D37" s="3" t="s">
        <v>237</v>
      </c>
    </row>
    <row r="38" spans="2:4" ht="12.75">
      <c r="B38" s="8" t="s">
        <v>238</v>
      </c>
      <c r="C38" s="1">
        <f>C27/C22</f>
        <v>21621.62162162162</v>
      </c>
      <c r="D38" s="3" t="s">
        <v>141</v>
      </c>
    </row>
    <row r="39" spans="2:3" ht="12.75">
      <c r="B39" s="8" t="s">
        <v>142</v>
      </c>
      <c r="C39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28" sqref="C28"/>
    </sheetView>
  </sheetViews>
  <sheetFormatPr defaultColWidth="11.421875" defaultRowHeight="12.75"/>
  <cols>
    <col min="1" max="1" width="16.421875" style="17" customWidth="1"/>
    <col min="2" max="2" width="10.8515625" style="17" customWidth="1"/>
    <col min="3" max="3" width="13.7109375" style="17" customWidth="1"/>
    <col min="4" max="7" width="10.8515625" style="17" customWidth="1"/>
    <col min="8" max="8" width="12.28125" style="17" hidden="1" customWidth="1"/>
    <col min="9" max="9" width="59.00390625" style="17" customWidth="1"/>
    <col min="10" max="16384" width="10.8515625" style="17" customWidth="1"/>
  </cols>
  <sheetData>
    <row r="1" ht="21.75" customHeight="1">
      <c r="A1" s="16" t="s">
        <v>22</v>
      </c>
    </row>
    <row r="2" ht="7.5" customHeight="1"/>
    <row r="3" spans="1:8" ht="13.5" customHeight="1">
      <c r="A3"/>
      <c r="F3"/>
      <c r="H3" s="18"/>
    </row>
    <row r="4" spans="1:8" ht="13.5" customHeight="1">
      <c r="A4" s="19" t="s">
        <v>23</v>
      </c>
      <c r="F4" s="20" t="s">
        <v>24</v>
      </c>
      <c r="G4" s="19"/>
      <c r="H4" s="21"/>
    </row>
    <row r="5" spans="1:8" ht="13.5" customHeight="1">
      <c r="A5" s="19" t="s">
        <v>25</v>
      </c>
      <c r="B5" s="22"/>
      <c r="C5" s="22" t="s">
        <v>26</v>
      </c>
      <c r="D5" s="23"/>
      <c r="E5" s="23"/>
      <c r="F5" s="20" t="s">
        <v>27</v>
      </c>
      <c r="G5" s="19"/>
      <c r="H5" s="24"/>
    </row>
    <row r="6" spans="1:8" ht="12.75">
      <c r="A6" s="19" t="s">
        <v>28</v>
      </c>
      <c r="B6" s="25"/>
      <c r="F6" s="26" t="s">
        <v>29</v>
      </c>
      <c r="G6" s="19"/>
      <c r="H6" s="27" t="s">
        <v>44</v>
      </c>
    </row>
    <row r="7" spans="1:8" ht="12.75">
      <c r="A7" s="28" t="s">
        <v>45</v>
      </c>
      <c r="B7" s="29" t="s">
        <v>46</v>
      </c>
      <c r="C7" s="30"/>
      <c r="D7" s="30" t="s">
        <v>47</v>
      </c>
      <c r="E7" s="30"/>
      <c r="F7" s="31" t="s">
        <v>48</v>
      </c>
      <c r="G7" s="32" t="s">
        <v>44</v>
      </c>
      <c r="H7" s="27" t="s">
        <v>49</v>
      </c>
    </row>
    <row r="8" spans="1:8" ht="12.75">
      <c r="A8" s="31" t="s">
        <v>50</v>
      </c>
      <c r="B8" s="29" t="s">
        <v>51</v>
      </c>
      <c r="C8" s="30" t="s">
        <v>46</v>
      </c>
      <c r="D8" s="30" t="s">
        <v>51</v>
      </c>
      <c r="E8" s="30" t="s">
        <v>46</v>
      </c>
      <c r="F8" s="31" t="s">
        <v>52</v>
      </c>
      <c r="G8" s="33" t="s">
        <v>53</v>
      </c>
      <c r="H8" s="33" t="s">
        <v>54</v>
      </c>
    </row>
    <row r="9" spans="1:9" ht="12.75">
      <c r="A9" s="31" t="s">
        <v>55</v>
      </c>
      <c r="B9" s="29" t="s">
        <v>56</v>
      </c>
      <c r="C9" s="30" t="s">
        <v>57</v>
      </c>
      <c r="D9" s="30" t="s">
        <v>56</v>
      </c>
      <c r="E9" s="30" t="s">
        <v>58</v>
      </c>
      <c r="F9" s="31" t="s">
        <v>59</v>
      </c>
      <c r="G9" s="33" t="s">
        <v>60</v>
      </c>
      <c r="H9" s="33" t="s">
        <v>61</v>
      </c>
      <c r="I9" s="34"/>
    </row>
    <row r="10" spans="1:9" ht="12.75">
      <c r="A10" s="35" t="s">
        <v>62</v>
      </c>
      <c r="B10" s="36"/>
      <c r="C10" s="37"/>
      <c r="D10" s="37"/>
      <c r="E10" s="37"/>
      <c r="F10" s="38"/>
      <c r="G10" s="39"/>
      <c r="H10" s="18"/>
      <c r="I10" s="40" t="s">
        <v>36</v>
      </c>
    </row>
    <row r="11" spans="1:9" ht="12.75">
      <c r="A11" s="35">
        <v>1</v>
      </c>
      <c r="B11" s="35">
        <f aca="true" t="shared" si="0" ref="B11:B17">H11*10</f>
        <v>1</v>
      </c>
      <c r="C11" s="37">
        <f aca="true" t="shared" si="1" ref="C11:C17">B11/1000</f>
        <v>0.001</v>
      </c>
      <c r="D11" s="37">
        <f aca="true" t="shared" si="2" ref="D11:D17">A11/10000</f>
        <v>0.0001</v>
      </c>
      <c r="E11" s="37">
        <f aca="true" t="shared" si="3" ref="E11:E17">C11/100</f>
        <v>1E-05</v>
      </c>
      <c r="F11" s="35">
        <f aca="true" t="shared" si="4" ref="F11:F17">A11</f>
        <v>1</v>
      </c>
      <c r="G11" s="39">
        <f aca="true" t="shared" si="5" ref="G11:G17">A11/1000</f>
        <v>0.001</v>
      </c>
      <c r="H11" s="18">
        <f aca="true" t="shared" si="6" ref="H11:H17">G11*100</f>
        <v>0.1</v>
      </c>
      <c r="I11" s="41" t="s">
        <v>37</v>
      </c>
    </row>
    <row r="12" spans="1:9" ht="12.75">
      <c r="A12" s="42">
        <v>10</v>
      </c>
      <c r="B12" s="42">
        <f t="shared" si="0"/>
        <v>10</v>
      </c>
      <c r="C12" s="43">
        <f t="shared" si="1"/>
        <v>0.01</v>
      </c>
      <c r="D12" s="43">
        <f t="shared" si="2"/>
        <v>0.001</v>
      </c>
      <c r="E12" s="44">
        <f t="shared" si="3"/>
        <v>0.0001</v>
      </c>
      <c r="F12" s="45">
        <f t="shared" si="4"/>
        <v>10</v>
      </c>
      <c r="G12" s="46">
        <f t="shared" si="5"/>
        <v>0.01</v>
      </c>
      <c r="H12" s="47">
        <f t="shared" si="6"/>
        <v>1</v>
      </c>
      <c r="I12" s="41"/>
    </row>
    <row r="13" spans="1:9" ht="12.75">
      <c r="A13" s="42">
        <v>50</v>
      </c>
      <c r="B13" s="42">
        <f t="shared" si="0"/>
        <v>50</v>
      </c>
      <c r="C13" s="43">
        <f t="shared" si="1"/>
        <v>0.05</v>
      </c>
      <c r="D13" s="43">
        <f t="shared" si="2"/>
        <v>0.005</v>
      </c>
      <c r="E13" s="43">
        <f t="shared" si="3"/>
        <v>0.0005</v>
      </c>
      <c r="F13" s="45">
        <f t="shared" si="4"/>
        <v>50</v>
      </c>
      <c r="G13" s="46">
        <f t="shared" si="5"/>
        <v>0.05</v>
      </c>
      <c r="H13" s="48">
        <f t="shared" si="6"/>
        <v>5</v>
      </c>
      <c r="I13" s="41" t="s">
        <v>67</v>
      </c>
    </row>
    <row r="14" spans="1:9" ht="12.75">
      <c r="A14" s="42">
        <v>70</v>
      </c>
      <c r="B14" s="42">
        <f t="shared" si="0"/>
        <v>70.00000000000001</v>
      </c>
      <c r="C14" s="43">
        <f t="shared" si="1"/>
        <v>0.07000000000000002</v>
      </c>
      <c r="D14" s="43">
        <f t="shared" si="2"/>
        <v>0.007</v>
      </c>
      <c r="E14" s="43">
        <f t="shared" si="3"/>
        <v>0.0007000000000000002</v>
      </c>
      <c r="F14" s="45">
        <f t="shared" si="4"/>
        <v>70</v>
      </c>
      <c r="G14" s="46">
        <f t="shared" si="5"/>
        <v>0.07</v>
      </c>
      <c r="H14" s="48">
        <f t="shared" si="6"/>
        <v>7.000000000000001</v>
      </c>
      <c r="I14" s="41" t="s">
        <v>32</v>
      </c>
    </row>
    <row r="15" spans="1:9" ht="12.75">
      <c r="A15" s="42">
        <v>200</v>
      </c>
      <c r="B15" s="42">
        <f t="shared" si="0"/>
        <v>200</v>
      </c>
      <c r="C15" s="43">
        <f t="shared" si="1"/>
        <v>0.2</v>
      </c>
      <c r="D15" s="43">
        <f t="shared" si="2"/>
        <v>0.02</v>
      </c>
      <c r="E15" s="43">
        <f t="shared" si="3"/>
        <v>0.002</v>
      </c>
      <c r="F15" s="45">
        <f t="shared" si="4"/>
        <v>200</v>
      </c>
      <c r="G15" s="46">
        <f t="shared" si="5"/>
        <v>0.2</v>
      </c>
      <c r="H15" s="24">
        <f t="shared" si="6"/>
        <v>20</v>
      </c>
      <c r="I15" s="41" t="s">
        <v>33</v>
      </c>
    </row>
    <row r="16" spans="1:9" ht="12.75">
      <c r="A16" s="42">
        <v>1000</v>
      </c>
      <c r="B16" s="42">
        <f t="shared" si="0"/>
        <v>1000</v>
      </c>
      <c r="C16" s="49">
        <f t="shared" si="1"/>
        <v>1</v>
      </c>
      <c r="D16" s="43">
        <f t="shared" si="2"/>
        <v>0.1</v>
      </c>
      <c r="E16" s="43">
        <f t="shared" si="3"/>
        <v>0.01</v>
      </c>
      <c r="F16" s="45">
        <f t="shared" si="4"/>
        <v>1000</v>
      </c>
      <c r="G16" s="50">
        <f t="shared" si="5"/>
        <v>1</v>
      </c>
      <c r="H16" s="24">
        <f t="shared" si="6"/>
        <v>100</v>
      </c>
      <c r="I16" s="41"/>
    </row>
    <row r="17" spans="1:9" ht="12.75">
      <c r="A17" s="51">
        <v>2000</v>
      </c>
      <c r="B17" s="51">
        <f t="shared" si="0"/>
        <v>2000</v>
      </c>
      <c r="C17" s="52">
        <f t="shared" si="1"/>
        <v>2</v>
      </c>
      <c r="D17" s="43">
        <f t="shared" si="2"/>
        <v>0.2</v>
      </c>
      <c r="E17" s="43">
        <f t="shared" si="3"/>
        <v>0.02</v>
      </c>
      <c r="F17" s="45">
        <f t="shared" si="4"/>
        <v>2000</v>
      </c>
      <c r="G17" s="53">
        <f t="shared" si="5"/>
        <v>2</v>
      </c>
      <c r="H17" s="54">
        <f t="shared" si="6"/>
        <v>200</v>
      </c>
      <c r="I17" s="41" t="s">
        <v>34</v>
      </c>
    </row>
    <row r="18" spans="1:9" ht="12.75">
      <c r="A18" s="35"/>
      <c r="B18" s="55"/>
      <c r="C18" s="37"/>
      <c r="D18" s="37"/>
      <c r="E18" s="37"/>
      <c r="F18" s="56"/>
      <c r="G18" s="39"/>
      <c r="H18" s="18"/>
      <c r="I18" s="57" t="s">
        <v>35</v>
      </c>
    </row>
    <row r="19" spans="1:9" ht="12.75">
      <c r="A19" s="55">
        <v>0</v>
      </c>
      <c r="B19" s="55">
        <f aca="true" t="shared" si="7" ref="B19:B25">H19*10</f>
        <v>0</v>
      </c>
      <c r="C19" s="37">
        <f aca="true" t="shared" si="8" ref="C19:C25">B19/1000</f>
        <v>0</v>
      </c>
      <c r="D19" s="37">
        <f aca="true" t="shared" si="9" ref="D19:D25">A19/10000</f>
        <v>0</v>
      </c>
      <c r="E19" s="37">
        <f aca="true" t="shared" si="10" ref="E19:E25">C19/100</f>
        <v>0</v>
      </c>
      <c r="F19" s="56">
        <f aca="true" t="shared" si="11" ref="F19:F25">A19</f>
        <v>0</v>
      </c>
      <c r="G19" s="39">
        <f aca="true" t="shared" si="12" ref="G19:G25">A19/1000</f>
        <v>0</v>
      </c>
      <c r="H19" s="18">
        <f aca="true" t="shared" si="13" ref="H19:H25">G19*100</f>
        <v>0</v>
      </c>
      <c r="I19" s="41" t="s">
        <v>233</v>
      </c>
    </row>
    <row r="20" spans="1:9" ht="12.75">
      <c r="A20" s="42">
        <v>100</v>
      </c>
      <c r="B20" s="42">
        <f t="shared" si="7"/>
        <v>100</v>
      </c>
      <c r="C20" s="43">
        <f t="shared" si="8"/>
        <v>0.1</v>
      </c>
      <c r="D20" s="58">
        <f t="shared" si="9"/>
        <v>0.01</v>
      </c>
      <c r="E20" s="58">
        <f t="shared" si="10"/>
        <v>0.001</v>
      </c>
      <c r="F20" s="45">
        <f t="shared" si="11"/>
        <v>100</v>
      </c>
      <c r="G20" s="46">
        <f t="shared" si="12"/>
        <v>0.1</v>
      </c>
      <c r="H20" s="24">
        <f t="shared" si="13"/>
        <v>10</v>
      </c>
      <c r="I20" s="41" t="s">
        <v>234</v>
      </c>
    </row>
    <row r="21" spans="1:9" ht="12.75">
      <c r="A21" s="42">
        <v>2500</v>
      </c>
      <c r="B21" s="42">
        <f t="shared" si="7"/>
        <v>2500</v>
      </c>
      <c r="C21" s="43">
        <f t="shared" si="8"/>
        <v>2.5</v>
      </c>
      <c r="D21" s="43">
        <f t="shared" si="9"/>
        <v>0.25</v>
      </c>
      <c r="E21" s="43">
        <f t="shared" si="10"/>
        <v>0.025</v>
      </c>
      <c r="F21" s="45">
        <f t="shared" si="11"/>
        <v>2500</v>
      </c>
      <c r="G21" s="46">
        <f t="shared" si="12"/>
        <v>2.5</v>
      </c>
      <c r="H21" s="24">
        <f t="shared" si="13"/>
        <v>250</v>
      </c>
      <c r="I21" s="41" t="s">
        <v>235</v>
      </c>
    </row>
    <row r="22" spans="1:9" ht="12.75">
      <c r="A22" s="42">
        <v>3360</v>
      </c>
      <c r="B22" s="42">
        <f t="shared" si="7"/>
        <v>3360</v>
      </c>
      <c r="C22" s="43">
        <f t="shared" si="8"/>
        <v>3.36</v>
      </c>
      <c r="D22" s="43">
        <f t="shared" si="9"/>
        <v>0.336</v>
      </c>
      <c r="E22" s="43">
        <f t="shared" si="10"/>
        <v>0.0336</v>
      </c>
      <c r="F22" s="45">
        <f t="shared" si="11"/>
        <v>3360</v>
      </c>
      <c r="G22" s="46">
        <f t="shared" si="12"/>
        <v>3.36</v>
      </c>
      <c r="H22" s="24">
        <f t="shared" si="13"/>
        <v>336</v>
      </c>
      <c r="I22" s="41" t="s">
        <v>38</v>
      </c>
    </row>
    <row r="23" spans="1:9" ht="12.75">
      <c r="A23" s="42">
        <v>10000</v>
      </c>
      <c r="B23" s="42">
        <f t="shared" si="7"/>
        <v>10000</v>
      </c>
      <c r="C23" s="43">
        <f t="shared" si="8"/>
        <v>10</v>
      </c>
      <c r="D23" s="49">
        <f t="shared" si="9"/>
        <v>1</v>
      </c>
      <c r="E23" s="58">
        <f t="shared" si="10"/>
        <v>0.1</v>
      </c>
      <c r="F23" s="45">
        <f t="shared" si="11"/>
        <v>10000</v>
      </c>
      <c r="G23" s="46">
        <f t="shared" si="12"/>
        <v>10</v>
      </c>
      <c r="H23" s="24">
        <f t="shared" si="13"/>
        <v>1000</v>
      </c>
      <c r="I23" s="41" t="s">
        <v>39</v>
      </c>
    </row>
    <row r="24" spans="1:9" ht="12.75">
      <c r="A24" s="42">
        <v>25600</v>
      </c>
      <c r="B24" s="42">
        <f t="shared" si="7"/>
        <v>25600</v>
      </c>
      <c r="C24" s="43">
        <f t="shared" si="8"/>
        <v>25.6</v>
      </c>
      <c r="D24" s="43">
        <f t="shared" si="9"/>
        <v>2.56</v>
      </c>
      <c r="E24" s="43">
        <f t="shared" si="10"/>
        <v>0.256</v>
      </c>
      <c r="F24" s="45">
        <f t="shared" si="11"/>
        <v>25600</v>
      </c>
      <c r="G24" s="46">
        <f t="shared" si="12"/>
        <v>25.6</v>
      </c>
      <c r="H24" s="24">
        <f t="shared" si="13"/>
        <v>2560</v>
      </c>
      <c r="I24" s="41" t="s">
        <v>40</v>
      </c>
    </row>
    <row r="25" spans="1:9" ht="12.75">
      <c r="A25" s="42">
        <v>100000</v>
      </c>
      <c r="B25" s="42">
        <f t="shared" si="7"/>
        <v>100000</v>
      </c>
      <c r="C25" s="43">
        <f t="shared" si="8"/>
        <v>100</v>
      </c>
      <c r="D25" s="43">
        <f t="shared" si="9"/>
        <v>10</v>
      </c>
      <c r="E25" s="49">
        <f t="shared" si="10"/>
        <v>1</v>
      </c>
      <c r="F25" s="45">
        <f t="shared" si="11"/>
        <v>100000</v>
      </c>
      <c r="G25" s="46">
        <f t="shared" si="12"/>
        <v>100</v>
      </c>
      <c r="H25" s="24">
        <f t="shared" si="13"/>
        <v>10000</v>
      </c>
      <c r="I25" s="41" t="s">
        <v>126</v>
      </c>
    </row>
    <row r="26" spans="1:9" ht="12" customHeight="1">
      <c r="A26" s="51">
        <v>1000000000</v>
      </c>
      <c r="B26" s="51" t="s">
        <v>127</v>
      </c>
      <c r="C26" s="59"/>
      <c r="D26" s="59"/>
      <c r="E26" s="52"/>
      <c r="F26" s="51"/>
      <c r="G26" s="60"/>
      <c r="H26" s="54"/>
      <c r="I26" s="21" t="s">
        <v>128</v>
      </c>
    </row>
    <row r="27" ht="7.5" customHeight="1"/>
    <row r="28" ht="12.75">
      <c r="A28" s="34" t="s">
        <v>129</v>
      </c>
    </row>
    <row r="29" ht="12">
      <c r="A29" s="17" t="s">
        <v>4</v>
      </c>
    </row>
    <row r="30" ht="12">
      <c r="A30" s="17" t="s">
        <v>94</v>
      </c>
    </row>
    <row r="31" ht="12">
      <c r="A31" s="17" t="s">
        <v>181</v>
      </c>
    </row>
    <row r="32" ht="9" customHeight="1"/>
    <row r="33" spans="1:5" ht="12.75">
      <c r="A33"/>
      <c r="B33" s="61" t="s">
        <v>46</v>
      </c>
      <c r="C33" s="62"/>
      <c r="D33" s="63" t="s">
        <v>47</v>
      </c>
      <c r="E33" s="18"/>
    </row>
    <row r="34" spans="1:5" ht="12.75">
      <c r="A34"/>
      <c r="B34" s="29" t="s">
        <v>51</v>
      </c>
      <c r="C34" s="64" t="s">
        <v>46</v>
      </c>
      <c r="D34" s="27" t="s">
        <v>51</v>
      </c>
      <c r="E34" s="33" t="s">
        <v>182</v>
      </c>
    </row>
    <row r="35" spans="1:5" ht="12.75">
      <c r="A35"/>
      <c r="B35" s="29" t="s">
        <v>56</v>
      </c>
      <c r="C35" s="64" t="s">
        <v>57</v>
      </c>
      <c r="D35" s="27" t="s">
        <v>56</v>
      </c>
      <c r="E35" s="33" t="s">
        <v>58</v>
      </c>
    </row>
    <row r="36" spans="1:5" ht="12">
      <c r="A36"/>
      <c r="B36" s="65" t="s">
        <v>183</v>
      </c>
      <c r="C36" s="66" t="s">
        <v>184</v>
      </c>
      <c r="D36" s="32" t="s">
        <v>185</v>
      </c>
      <c r="E36" s="33" t="s">
        <v>186</v>
      </c>
    </row>
    <row r="37" spans="1:5" ht="12">
      <c r="A37"/>
      <c r="B37" s="67" t="s">
        <v>187</v>
      </c>
      <c r="C37" s="68" t="s">
        <v>188</v>
      </c>
      <c r="D37" s="69" t="s">
        <v>61</v>
      </c>
      <c r="E37" s="69" t="s">
        <v>189</v>
      </c>
    </row>
    <row r="38" spans="1:5" ht="12">
      <c r="A38"/>
      <c r="B38" s="70" t="s">
        <v>190</v>
      </c>
      <c r="C38" s="71"/>
      <c r="D38" s="71"/>
      <c r="E38" s="71"/>
    </row>
    <row r="39" spans="1:5" ht="12">
      <c r="A39"/>
      <c r="B39" s="70" t="s">
        <v>95</v>
      </c>
      <c r="C39" s="71"/>
      <c r="D39" s="71"/>
      <c r="E39" s="71"/>
    </row>
    <row r="40" spans="1:5" ht="7.5" customHeight="1">
      <c r="A40" s="70"/>
      <c r="B40" s="72"/>
      <c r="C40" s="71"/>
      <c r="D40" s="71"/>
      <c r="E40" s="71"/>
    </row>
    <row r="41" ht="12">
      <c r="A41" s="17" t="s">
        <v>96</v>
      </c>
    </row>
    <row r="42" ht="12">
      <c r="A42" s="17" t="s">
        <v>97</v>
      </c>
    </row>
    <row r="43" ht="12">
      <c r="A43" s="17" t="s">
        <v>41</v>
      </c>
    </row>
    <row r="44" ht="12">
      <c r="A44" s="17" t="s">
        <v>42</v>
      </c>
    </row>
    <row r="45" ht="12">
      <c r="A45" s="17" t="s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2009-02-25T03:44:38Z</cp:lastPrinted>
  <dcterms:created xsi:type="dcterms:W3CDTF">2002-09-06T02:55:40Z</dcterms:created>
  <dcterms:modified xsi:type="dcterms:W3CDTF">2012-11-16T04:54:00Z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