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artludwig13/WebOD/shelter/safetycottage/"/>
    </mc:Choice>
  </mc:AlternateContent>
  <xr:revisionPtr revIDLastSave="0" documentId="13_ncr:1_{C45C3BD4-2377-B84D-B446-D91B93C25688}" xr6:coauthVersionLast="47" xr6:coauthVersionMax="47" xr10:uidLastSave="{00000000-0000-0000-0000-000000000000}"/>
  <bookViews>
    <workbookView xWindow="0" yWindow="560" windowWidth="28800" windowHeight="16920" xr2:uid="{59DE7360-197B-EE4E-B09A-167E0DAA21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4" i="1" l="1"/>
  <c r="B78" i="1"/>
  <c r="C78" i="1"/>
  <c r="C68" i="1"/>
  <c r="C69" i="1" s="1"/>
  <c r="C71" i="1" s="1"/>
  <c r="B51" i="1"/>
  <c r="C51" i="1" s="1"/>
  <c r="B68" i="1"/>
  <c r="B69" i="1" s="1"/>
  <c r="C50" i="1"/>
  <c r="B50" i="1"/>
  <c r="B52" i="1"/>
  <c r="C52" i="1" s="1"/>
  <c r="E52" i="1" s="1"/>
  <c r="E67" i="1"/>
  <c r="D67" i="1"/>
  <c r="E66" i="1"/>
  <c r="D66" i="1"/>
  <c r="C64" i="1"/>
  <c r="B64" i="1"/>
  <c r="E62" i="1"/>
  <c r="D62" i="1"/>
  <c r="E61" i="1"/>
  <c r="D61" i="1"/>
  <c r="E63" i="1"/>
  <c r="D63" i="1"/>
  <c r="C60" i="1"/>
  <c r="C49" i="1" s="1"/>
  <c r="B60" i="1"/>
  <c r="B48" i="1" s="1"/>
  <c r="B71" i="1" l="1"/>
  <c r="B46" i="1"/>
  <c r="C46" i="1"/>
  <c r="E50" i="1"/>
  <c r="D50" i="1"/>
  <c r="E51" i="1"/>
  <c r="D51" i="1"/>
  <c r="D52" i="1"/>
  <c r="B47" i="1"/>
  <c r="C47" i="1"/>
  <c r="B49" i="1"/>
  <c r="E49" i="1" s="1"/>
  <c r="C48" i="1"/>
  <c r="E60" i="1"/>
  <c r="B65" i="1"/>
  <c r="E64" i="1"/>
  <c r="D60" i="1"/>
  <c r="B54" i="1"/>
  <c r="D54" i="1" s="1"/>
  <c r="D64" i="1"/>
  <c r="C65" i="1"/>
  <c r="B55" i="1" l="1"/>
  <c r="D49" i="1"/>
  <c r="E47" i="1"/>
  <c r="D47" i="1"/>
  <c r="D46" i="1"/>
  <c r="E46" i="1"/>
  <c r="E48" i="1"/>
  <c r="D48" i="1"/>
  <c r="C53" i="1"/>
  <c r="C55" i="1" s="1"/>
  <c r="D65" i="1"/>
  <c r="E65" i="1"/>
  <c r="E54" i="1"/>
  <c r="E53" i="1" l="1"/>
  <c r="D53" i="1"/>
  <c r="E55" i="1" l="1"/>
  <c r="D55" i="1"/>
</calcChain>
</file>

<file path=xl/sharedStrings.xml><?xml version="1.0" encoding="utf-8"?>
<sst xmlns="http://schemas.openxmlformats.org/spreadsheetml/2006/main" count="74" uniqueCount="71">
  <si>
    <t>Adobe safety cottage</t>
  </si>
  <si>
    <t>Standard</t>
  </si>
  <si>
    <t>Units</t>
  </si>
  <si>
    <t>Construction cost</t>
  </si>
  <si>
    <t>People</t>
  </si>
  <si>
    <t>$/person</t>
  </si>
  <si>
    <t>Design life</t>
  </si>
  <si>
    <t>Architectural fuel load</t>
  </si>
  <si>
    <t>Firestorm rebuild $ cost</t>
  </si>
  <si>
    <t>Earthquake rebuild $ cost</t>
  </si>
  <si>
    <t>Potable water</t>
  </si>
  <si>
    <t>Electricity</t>
  </si>
  <si>
    <t>$/person/yr</t>
  </si>
  <si>
    <t>Professional cleaning need</t>
  </si>
  <si>
    <t>%</t>
  </si>
  <si>
    <t>factor</t>
  </si>
  <si>
    <t>Fire insurance</t>
  </si>
  <si>
    <t>Gas</t>
  </si>
  <si>
    <t>Maintenance</t>
  </si>
  <si>
    <t>Firestorm total rebuild frequency</t>
  </si>
  <si>
    <t>Earthquake total rebuild frequency</t>
  </si>
  <si>
    <t>Property tax on structure</t>
  </si>
  <si>
    <t>Total  cost/ person/ year</t>
  </si>
  <si>
    <t>Footprint on the ground (ft2)</t>
  </si>
  <si>
    <t>Interior floor area (ft2)</t>
  </si>
  <si>
    <t>Construction cost ($/ft2)</t>
  </si>
  <si>
    <t>Floor area per person (ft2)</t>
  </si>
  <si>
    <t xml:space="preserve">How many square feet of land the structure occupies; a multi-story building will occupy less, thicker walls occupy more. </t>
  </si>
  <si>
    <t>Conventional/ ASC</t>
  </si>
  <si>
    <t>ASC/ conventional %</t>
  </si>
  <si>
    <t>ASC</t>
  </si>
  <si>
    <t>Conventional</t>
  </si>
  <si>
    <t>No gas in ASC</t>
  </si>
  <si>
    <t>This does not figure directly into calculations above, but it's a shocking comparision worth noting.</t>
  </si>
  <si>
    <t>Min land required (ft2)</t>
  </si>
  <si>
    <t>Cost of land ($/ft2)</t>
  </si>
  <si>
    <t>This is the approximate minimum amount of space on a lot for a permitted structure, counting setbacks. This is really apples to oranges; there's not lots this small, so the presumption is that ASC would be an ADU.</t>
  </si>
  <si>
    <t>Abbreviations key</t>
  </si>
  <si>
    <t>ASC= tiny Adobe Safety Cottage</t>
  </si>
  <si>
    <t xml:space="preserve">ADU= Accessory Dwelling Unit. The state of California has recently </t>
  </si>
  <si>
    <t xml:space="preserve">All factors below in units of cost per person per year </t>
  </si>
  <si>
    <t xml:space="preserve">This is the average number of people in a house in the US in recent years. </t>
  </si>
  <si>
    <r>
      <t xml:space="preserve">Lower ft2 per person is the main driver of savings for an adobe tiny house. </t>
    </r>
    <r>
      <rPr>
        <sz val="12"/>
        <color theme="1"/>
        <rFont val="Calibri"/>
        <family val="2"/>
        <scheme val="minor"/>
      </rPr>
      <t xml:space="preserve">100-200 ft2/ person is common and comfortable for people who could afford to live in a bigger house, but have the freedom to choose a smaller space by preference. Ft2/ person for people living happily in boats and vans can be much smaller. </t>
    </r>
  </si>
  <si>
    <r>
      <t xml:space="preserve">Cost per person per year is arguably the most real metric of housing cost. </t>
    </r>
    <r>
      <rPr>
        <sz val="12"/>
        <color theme="1"/>
        <rFont val="Calibri"/>
        <family val="2"/>
        <scheme val="minor"/>
      </rPr>
      <t>For example, if construction cost is 10% less, but durabilty half, that's more expensive over time.</t>
    </r>
  </si>
  <si>
    <t>Cost of land ($)</t>
  </si>
  <si>
    <r>
      <t xml:space="preserve">Source numbers for graph above. </t>
    </r>
    <r>
      <rPr>
        <i/>
        <sz val="12"/>
        <color theme="1"/>
        <rFont val="Calibri"/>
        <family val="2"/>
        <scheme val="minor"/>
      </rPr>
      <t xml:space="preserve">This is kind of an apples to oranges comparison; see the derivation and notes below to get a sense of what the role is of each factor. </t>
    </r>
  </si>
  <si>
    <r>
      <t>You can EDIT the input numbers to make the comparison most valid for you</t>
    </r>
    <r>
      <rPr>
        <i/>
        <sz val="12"/>
        <color theme="1"/>
        <rFont val="Calibri"/>
        <family val="2"/>
        <scheme val="minor"/>
      </rPr>
      <t xml:space="preserve"> (input numbers are blue)</t>
    </r>
  </si>
  <si>
    <t>Overall cost per person per year is the bottom line housing cost, long-term. This is a function of all the variables above.</t>
  </si>
  <si>
    <t>Derivation below. = Construction cost * Tax rate</t>
  </si>
  <si>
    <t>Derivation below. =Construction cost/ life of structure.</t>
  </si>
  <si>
    <t>Derivation below. =Cost of rebuiding (assumed equal to the cost of building) / total rebuild due to fire interval</t>
  </si>
  <si>
    <t>Derivation below. =Cost of rebuiding (assumed equal to the cost of building) / total rebuild due to earthquake interval.</t>
  </si>
  <si>
    <t>Estimate. Earth plaster takes more frequent maintenance than laytex paint or cement stucco.  Pretty much every other maintenance factor is lower based on lower square footage and/or higher quality/ passive vs active systems</t>
  </si>
  <si>
    <t>Estimate. ASC uses 80%± less per person, less with more conserving habits, based on use of similar systems in existing homes and calculations.</t>
  </si>
  <si>
    <t>Estimate based on a rough but informed estimate of the % of cancers caused by toxins in building products. =The lives lost cost is roughly 19 per million per year* $500,000 treatment cost</t>
  </si>
  <si>
    <t>The up-front fiinancial hurdle to overcome, along with land.</t>
  </si>
  <si>
    <t xml:space="preserve">What makes this apples-to-oranges? A tiny house is inherently different than an average sized house. An adobe house is subjectively more pleasurable to live in for most people, which is reflected in better air quality, sound privacy, etc. The present value of a structure that lasts longer </t>
  </si>
  <si>
    <t xml:space="preserve">than a human lifetime is hard to compare with one that doesn't. An adobe tiny house is more likely to be built as an ADU, which is hard to compare to a primary unit. </t>
  </si>
  <si>
    <r>
      <rPr>
        <b/>
        <sz val="12"/>
        <color theme="1"/>
        <rFont val="Calibri"/>
        <family val="2"/>
        <scheme val="minor"/>
      </rPr>
      <t>Longer design life is a secondary driver of savings for ASC.</t>
    </r>
    <r>
      <rPr>
        <sz val="12"/>
        <color theme="1"/>
        <rFont val="Calibri"/>
        <family val="2"/>
        <scheme val="minor"/>
      </rPr>
      <t xml:space="preserve"> Since the design life of an ASC is longer than a human life, this analysis presumes that it's of value now to provide housing for people not yet born…which doesn't exactly line up with our current culture. For people who don't value this, this would be an external benefit. To capture this scenerio, both numbers could be set to the time span the person cares about, say 30 years.</t>
    </r>
  </si>
  <si>
    <t xml:space="preserve">Intermediate number; construction cost per person. </t>
  </si>
  <si>
    <t>400 ft2 is the maximum size of a Tiny House in the California Residential code, 200ft2 is the minium.  2,300 ft2 is the average size of a new home.</t>
  </si>
  <si>
    <t>The construction cost per ft2 is certainly higher for an adobe tiny house vs a conventional house. How much is not known until several structures are made. The initial adobe tiny houses would cost even more, due to the costs of pioneering. $1,000/ ft2 is the commonly cited cost for construction in SB at present.</t>
  </si>
  <si>
    <t>Estimate. There are not very many buildable vacant lots in Santa Barbara; this may be low.</t>
  </si>
  <si>
    <t xml:space="preserve"> This was not included in the graph because it is very hard to define for a tiny ADU vs a primary dwelling. The marginal cost of land for an ADU on an already owned lot is arguably zero. One way to get a handle on this is the cost of a house without space for an ADU vs one with space for an ADU. </t>
  </si>
  <si>
    <t xml:space="preserve">It is unlikely to ever have to rebuild an ASC for fire. It might need replastering and new roof/ window elements to cover the scortch marks from wood houses that burned around it. It is very hard to say prospecitively how likely houses are to burn in SB, but 2% a year is likley for the next 50 years. </t>
  </si>
  <si>
    <t xml:space="preserve">This number does not go in the calculations; we used actual loss estimate instead, as that will ultimately be what someone has to pay, and insurance is hard to pin down. Fire insurance is not necessary for ASCs, and it may not be available in the future for standard buildings made of fuel. Liabilty insurance may not currently be avaible without fire insurance, which may change soon. </t>
  </si>
  <si>
    <t xml:space="preserve">ASCs are approximately 8x heavier than 2x6 construction. Properly reinforced, they are also 8x stronger. The failure mode of wire mesh reinforced monolithic adobe is very attractive; it cracks all over but  is extremely unlikely to collapse on residents. </t>
  </si>
  <si>
    <t xml:space="preserve">There are a lot of independent variables in play; this analysis notes their significance. Items in grey are included for discussion and illumination but do not factor into the equations or graph. </t>
  </si>
  <si>
    <r>
      <rPr>
        <b/>
        <i/>
        <sz val="12"/>
        <color theme="1"/>
        <rFont val="Calibri"/>
        <family val="2"/>
        <scheme val="minor"/>
      </rPr>
      <t>Calculations, notes and assumptions behind numbers above</t>
    </r>
    <r>
      <rPr>
        <i/>
        <sz val="12"/>
        <color theme="1"/>
        <rFont val="Calibri"/>
        <family val="2"/>
        <scheme val="minor"/>
      </rPr>
      <t>…many of these numbers are themselves quite interesting</t>
    </r>
  </si>
  <si>
    <t xml:space="preserve">Not on the graph but worth noting: When there's more than 500 ft2 per person, professional cleaning weekly to monthly becomes close to a necessity. At 200ft2 or less per person, there's really nothing to do until a year has gone by. </t>
  </si>
  <si>
    <t>Cancer from household toxin exposure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</si>
</sst>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quot;$&quot;#,##0;[Red]&quot;$&quot;#,##0"/>
  </numFmts>
  <fonts count="11" x14ac:knownFonts="1">
    <font>
      <sz val="12"/>
      <color theme="1"/>
      <name val="Calibri"/>
      <family val="2"/>
      <scheme val="minor"/>
    </font>
    <font>
      <b/>
      <sz val="12"/>
      <color theme="1"/>
      <name val="Calibri"/>
      <family val="2"/>
      <scheme val="minor"/>
    </font>
    <font>
      <b/>
      <sz val="14"/>
      <color theme="1"/>
      <name val="Cambria"/>
      <family val="1"/>
    </font>
    <font>
      <b/>
      <sz val="12"/>
      <color theme="1"/>
      <name val="Cambria"/>
      <family val="1"/>
    </font>
    <font>
      <sz val="14"/>
      <color theme="1"/>
      <name val="Cambria"/>
      <family val="1"/>
    </font>
    <font>
      <sz val="12"/>
      <color theme="1"/>
      <name val="Cambria"/>
      <family val="1"/>
    </font>
    <font>
      <b/>
      <sz val="12"/>
      <color rgb="FF0070C0"/>
      <name val="Cambria"/>
      <family val="1"/>
    </font>
    <font>
      <u/>
      <sz val="12"/>
      <color theme="10"/>
      <name val="Calibri"/>
      <family val="2"/>
      <scheme val="minor"/>
    </font>
    <font>
      <i/>
      <sz val="12"/>
      <color theme="1"/>
      <name val="Calibri"/>
      <family val="2"/>
      <scheme val="minor"/>
    </font>
    <font>
      <b/>
      <i/>
      <sz val="12"/>
      <color theme="1"/>
      <name val="Calibri"/>
      <family val="2"/>
      <scheme val="minor"/>
    </font>
    <font>
      <sz val="14"/>
      <color theme="0" tint="-0.34998626667073579"/>
      <name val="Cambria"/>
      <family val="1"/>
    </font>
  </fonts>
  <fills count="5">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FE7C6B"/>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2" fillId="0" borderId="0" xfId="0" applyFont="1" applyAlignment="1">
      <alignment horizontal="left" wrapText="1"/>
    </xf>
    <xf numFmtId="0" fontId="3" fillId="0" borderId="0" xfId="0" applyFont="1" applyAlignment="1">
      <alignment vertical="top" wrapText="1"/>
    </xf>
    <xf numFmtId="164" fontId="4" fillId="0" borderId="0" xfId="0" applyNumberFormat="1" applyFont="1" applyAlignment="1">
      <alignment horizontal="left" wrapText="1"/>
    </xf>
    <xf numFmtId="164" fontId="5" fillId="0" borderId="0" xfId="0" applyNumberFormat="1" applyFont="1" applyAlignment="1">
      <alignment vertical="top" wrapText="1"/>
    </xf>
    <xf numFmtId="165" fontId="4" fillId="0" borderId="0" xfId="0" applyNumberFormat="1" applyFont="1" applyAlignment="1">
      <alignment horizontal="left" wrapText="1"/>
    </xf>
    <xf numFmtId="165" fontId="6" fillId="0" borderId="0" xfId="0" applyNumberFormat="1" applyFont="1" applyAlignment="1">
      <alignment vertical="top" wrapText="1"/>
    </xf>
    <xf numFmtId="3" fontId="4" fillId="0" borderId="0" xfId="0" applyNumberFormat="1" applyFont="1" applyAlignment="1">
      <alignment horizontal="left" wrapText="1"/>
    </xf>
    <xf numFmtId="3" fontId="6" fillId="0" borderId="0" xfId="0" applyNumberFormat="1" applyFont="1" applyAlignment="1">
      <alignment vertical="top" wrapText="1"/>
    </xf>
    <xf numFmtId="3" fontId="5" fillId="0" borderId="0" xfId="0" applyNumberFormat="1" applyFont="1" applyAlignment="1">
      <alignment vertical="top" wrapText="1"/>
    </xf>
    <xf numFmtId="3" fontId="2" fillId="0" borderId="0" xfId="0" applyNumberFormat="1" applyFont="1" applyAlignment="1">
      <alignment horizontal="left" wrapText="1"/>
    </xf>
    <xf numFmtId="3" fontId="3" fillId="0" borderId="0" xfId="0" applyNumberFormat="1" applyFont="1" applyAlignment="1">
      <alignment vertical="top" wrapText="1"/>
    </xf>
    <xf numFmtId="0" fontId="4" fillId="0" borderId="0" xfId="0" applyFont="1" applyAlignment="1">
      <alignment horizontal="left" wrapText="1"/>
    </xf>
    <xf numFmtId="0" fontId="6" fillId="0" borderId="0" xfId="0" applyFont="1" applyAlignment="1">
      <alignment vertical="top" wrapText="1"/>
    </xf>
    <xf numFmtId="0" fontId="5" fillId="0" borderId="0" xfId="0" applyFont="1" applyAlignment="1">
      <alignment vertical="top" wrapText="1"/>
    </xf>
    <xf numFmtId="164" fontId="6" fillId="0" borderId="0" xfId="0" applyNumberFormat="1" applyFont="1" applyAlignment="1">
      <alignment vertical="top" wrapText="1"/>
    </xf>
    <xf numFmtId="164" fontId="0" fillId="0" borderId="0" xfId="0" applyNumberFormat="1"/>
    <xf numFmtId="165" fontId="0" fillId="0" borderId="0" xfId="0" applyNumberFormat="1"/>
    <xf numFmtId="3" fontId="0" fillId="0" borderId="0" xfId="0" applyNumberFormat="1"/>
    <xf numFmtId="0" fontId="1" fillId="0" borderId="0" xfId="0" applyFont="1"/>
    <xf numFmtId="0" fontId="2" fillId="0" borderId="0" xfId="0" applyFont="1" applyAlignment="1">
      <alignment horizontal="center" wrapText="1"/>
    </xf>
    <xf numFmtId="2" fontId="2" fillId="0" borderId="0" xfId="0" applyNumberFormat="1" applyFont="1" applyAlignment="1">
      <alignment horizontal="center" wrapText="1"/>
    </xf>
    <xf numFmtId="9" fontId="5" fillId="0" borderId="0" xfId="0" applyNumberFormat="1" applyFont="1" applyAlignment="1">
      <alignment horizontal="center" wrapText="1"/>
    </xf>
    <xf numFmtId="2" fontId="5" fillId="0" borderId="0" xfId="0" applyNumberFormat="1" applyFont="1" applyAlignment="1">
      <alignment horizontal="center" wrapText="1"/>
    </xf>
    <xf numFmtId="3" fontId="2" fillId="0" borderId="0" xfId="0" applyNumberFormat="1" applyFont="1" applyAlignment="1">
      <alignment horizontal="center" wrapText="1"/>
    </xf>
    <xf numFmtId="0" fontId="4" fillId="0" borderId="0" xfId="0" applyFont="1" applyAlignment="1">
      <alignment horizontal="center" wrapText="1"/>
    </xf>
    <xf numFmtId="2" fontId="4" fillId="0" borderId="0" xfId="0" applyNumberFormat="1" applyFont="1" applyAlignment="1">
      <alignment horizontal="center" wrapText="1"/>
    </xf>
    <xf numFmtId="0" fontId="0" fillId="0" borderId="0" xfId="0" applyAlignment="1">
      <alignment horizontal="center"/>
    </xf>
    <xf numFmtId="2" fontId="0" fillId="0" borderId="0" xfId="0" applyNumberFormat="1" applyAlignment="1">
      <alignment horizontal="center"/>
    </xf>
    <xf numFmtId="0" fontId="8" fillId="0" borderId="0" xfId="0" applyFont="1"/>
    <xf numFmtId="164" fontId="5" fillId="0" borderId="0" xfId="0" applyNumberFormat="1" applyFont="1" applyFill="1" applyAlignment="1">
      <alignment vertical="top" wrapText="1"/>
    </xf>
    <xf numFmtId="3" fontId="5" fillId="2" borderId="0" xfId="0" applyNumberFormat="1" applyFont="1" applyFill="1" applyAlignment="1">
      <alignment vertical="top" wrapText="1"/>
    </xf>
    <xf numFmtId="3" fontId="6" fillId="2" borderId="0" xfId="0" applyNumberFormat="1" applyFont="1" applyFill="1" applyAlignment="1">
      <alignment vertical="top" wrapText="1"/>
    </xf>
    <xf numFmtId="0" fontId="0" fillId="2" borderId="0" xfId="0" applyFill="1"/>
    <xf numFmtId="0" fontId="2" fillId="0" borderId="1" xfId="0" applyFont="1" applyBorder="1" applyAlignment="1">
      <alignment horizontal="left" wrapText="1"/>
    </xf>
    <xf numFmtId="0" fontId="5" fillId="0" borderId="2" xfId="0" applyFont="1" applyBorder="1" applyAlignment="1">
      <alignment horizontal="center" wrapText="1"/>
    </xf>
    <xf numFmtId="0" fontId="4" fillId="0" borderId="2" xfId="0" applyFont="1" applyBorder="1" applyAlignment="1">
      <alignment horizontal="center" wrapText="1"/>
    </xf>
    <xf numFmtId="2" fontId="4" fillId="0" borderId="3" xfId="0" applyNumberFormat="1" applyFont="1" applyBorder="1" applyAlignment="1">
      <alignment horizontal="center" wrapText="1"/>
    </xf>
    <xf numFmtId="0" fontId="4" fillId="0" borderId="4" xfId="0" applyFont="1" applyBorder="1" applyAlignment="1">
      <alignment horizontal="left" wrapText="1"/>
    </xf>
    <xf numFmtId="9" fontId="5" fillId="0" borderId="0" xfId="0" applyNumberFormat="1" applyFont="1" applyBorder="1" applyAlignment="1">
      <alignment horizontal="center" wrapText="1"/>
    </xf>
    <xf numFmtId="2" fontId="5" fillId="0" borderId="5" xfId="0" applyNumberFormat="1" applyFont="1" applyBorder="1" applyAlignment="1">
      <alignment horizontal="center" wrapText="1"/>
    </xf>
    <xf numFmtId="164" fontId="4" fillId="0" borderId="4" xfId="0" applyNumberFormat="1" applyFont="1" applyBorder="1" applyAlignment="1">
      <alignment horizontal="left" wrapText="1"/>
    </xf>
    <xf numFmtId="0" fontId="2" fillId="0" borderId="6" xfId="0" applyFont="1" applyBorder="1" applyAlignment="1">
      <alignment horizontal="left" wrapText="1"/>
    </xf>
    <xf numFmtId="9" fontId="5" fillId="0" borderId="7" xfId="0" applyNumberFormat="1" applyFont="1" applyBorder="1" applyAlignment="1">
      <alignment horizontal="center" wrapText="1"/>
    </xf>
    <xf numFmtId="2" fontId="5" fillId="0" borderId="8" xfId="0" applyNumberFormat="1" applyFont="1" applyBorder="1" applyAlignment="1">
      <alignment horizontal="center" wrapText="1"/>
    </xf>
    <xf numFmtId="164" fontId="5" fillId="3" borderId="4" xfId="0" applyNumberFormat="1" applyFont="1" applyFill="1" applyBorder="1" applyAlignment="1">
      <alignment vertical="top" wrapText="1"/>
    </xf>
    <xf numFmtId="164" fontId="5" fillId="4" borderId="5" xfId="0" applyNumberFormat="1" applyFont="1" applyFill="1" applyBorder="1" applyAlignment="1">
      <alignment vertical="top" wrapText="1"/>
    </xf>
    <xf numFmtId="164" fontId="6" fillId="3" borderId="4" xfId="0" applyNumberFormat="1" applyFont="1" applyFill="1" applyBorder="1" applyAlignment="1">
      <alignment vertical="top" wrapText="1"/>
    </xf>
    <xf numFmtId="164" fontId="6" fillId="4" borderId="5" xfId="0" applyNumberFormat="1" applyFont="1" applyFill="1" applyBorder="1" applyAlignment="1">
      <alignment vertical="top" wrapText="1"/>
    </xf>
    <xf numFmtId="164" fontId="3" fillId="3" borderId="6" xfId="0" applyNumberFormat="1" applyFont="1" applyFill="1" applyBorder="1" applyAlignment="1">
      <alignment vertical="top" wrapText="1"/>
    </xf>
    <xf numFmtId="164" fontId="3" fillId="4" borderId="8" xfId="0" applyNumberFormat="1" applyFont="1" applyFill="1" applyBorder="1" applyAlignment="1">
      <alignment vertical="top" wrapText="1"/>
    </xf>
    <xf numFmtId="0" fontId="9" fillId="0" borderId="0" xfId="0" applyFont="1"/>
    <xf numFmtId="0" fontId="0" fillId="0" borderId="0" xfId="0" applyAlignment="1">
      <alignment wrapText="1"/>
    </xf>
    <xf numFmtId="0" fontId="1" fillId="0" borderId="0" xfId="0" applyFont="1" applyAlignment="1">
      <alignment wrapText="1"/>
    </xf>
    <xf numFmtId="0" fontId="1" fillId="2" borderId="0" xfId="0" applyFont="1" applyFill="1" applyAlignment="1">
      <alignment wrapText="1"/>
    </xf>
    <xf numFmtId="0" fontId="0" fillId="0" borderId="0" xfId="0" applyFill="1" applyAlignment="1">
      <alignment wrapText="1"/>
    </xf>
    <xf numFmtId="0" fontId="7" fillId="0" borderId="0" xfId="1" applyAlignment="1">
      <alignment wrapText="1"/>
    </xf>
    <xf numFmtId="166" fontId="5" fillId="2" borderId="0" xfId="0" applyNumberFormat="1" applyFont="1" applyFill="1" applyAlignment="1">
      <alignment vertical="top" wrapText="1"/>
    </xf>
    <xf numFmtId="9" fontId="5" fillId="2" borderId="0" xfId="0" applyNumberFormat="1" applyFont="1" applyFill="1" applyAlignment="1">
      <alignment horizontal="center" wrapText="1"/>
    </xf>
    <xf numFmtId="2" fontId="5" fillId="2" borderId="0" xfId="0" applyNumberFormat="1" applyFont="1" applyFill="1" applyAlignment="1">
      <alignment horizontal="center" wrapText="1"/>
    </xf>
    <xf numFmtId="0" fontId="0" fillId="2" borderId="0" xfId="0" applyFill="1" applyAlignment="1">
      <alignment wrapText="1"/>
    </xf>
    <xf numFmtId="3" fontId="0" fillId="2" borderId="0" xfId="0" applyNumberFormat="1" applyFill="1"/>
    <xf numFmtId="0" fontId="10" fillId="0" borderId="0" xfId="0" applyFont="1" applyAlignment="1">
      <alignment horizontal="left" wrapText="1"/>
    </xf>
    <xf numFmtId="164" fontId="10" fillId="0" borderId="0" xfId="0" applyNumberFormat="1" applyFont="1" applyAlignment="1">
      <alignment horizontal="left" wrapText="1"/>
    </xf>
    <xf numFmtId="3" fontId="10" fillId="0" borderId="0" xfId="0" applyNumberFormat="1" applyFont="1" applyAlignment="1">
      <alignment horizontal="left" wrapText="1"/>
    </xf>
    <xf numFmtId="3" fontId="10" fillId="2" borderId="0" xfId="0" applyNumberFormat="1"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6FEDC"/>
      <color rgb="FFFDFDA6"/>
      <color rgb="FF00FF00"/>
      <color rgb="FFFE7C6B"/>
      <color rgb="FFFF66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Cost</a:t>
            </a:r>
            <a:r>
              <a:rPr lang="en-US" sz="1600" baseline="0"/>
              <a:t> of Housing for Tiny Adobe Safety Cottage </a:t>
            </a:r>
            <a:br>
              <a:rPr lang="en-US" sz="1600" baseline="0"/>
            </a:br>
            <a:r>
              <a:rPr lang="en-US" sz="1600" baseline="0"/>
              <a:t>vs Average New House </a:t>
            </a:r>
            <a:br>
              <a:rPr lang="en-US" sz="1600" baseline="0"/>
            </a:br>
            <a:r>
              <a:rPr lang="en-US" sz="1600" baseline="0"/>
              <a:t>in SB high fire zone </a:t>
            </a:r>
            <a:r>
              <a:rPr lang="en-US" sz="1600" b="1" baseline="0"/>
              <a:t>($/person/yr)</a:t>
            </a:r>
            <a:endParaRPr lang="en-US" sz="1600" b="1"/>
          </a:p>
        </c:rich>
      </c:tx>
      <c:layout>
        <c:manualLayout>
          <c:xMode val="edge"/>
          <c:yMode val="edge"/>
          <c:x val="1.5570801092158863E-2"/>
          <c:y val="1.247771836007130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00FF00"/>
            </a:solidFill>
            <a:ln>
              <a:noFill/>
            </a:ln>
            <a:effectLst/>
          </c:spPr>
          <c:invertIfNegative val="0"/>
          <c:cat>
            <c:strRef>
              <c:f>Sheet1!$A$46:$A$55</c:f>
              <c:strCache>
                <c:ptCount val="10"/>
                <c:pt idx="0">
                  <c:v>Construction cost</c:v>
                </c:pt>
                <c:pt idx="1">
                  <c:v>Property tax on structure</c:v>
                </c:pt>
                <c:pt idx="2">
                  <c:v>Firestorm rebuild $ cost</c:v>
                </c:pt>
                <c:pt idx="3">
                  <c:v>Earthquake rebuild $ cost</c:v>
                </c:pt>
                <c:pt idx="4">
                  <c:v>Maintenance</c:v>
                </c:pt>
                <c:pt idx="5">
                  <c:v>Potable water</c:v>
                </c:pt>
                <c:pt idx="6">
                  <c:v>Electricity</c:v>
                </c:pt>
                <c:pt idx="7">
                  <c:v>Gas</c:v>
                </c:pt>
                <c:pt idx="8">
                  <c:v>Cancer from household toxin exposure</c:v>
                </c:pt>
                <c:pt idx="9">
                  <c:v>Total  cost/ person/ year</c:v>
                </c:pt>
              </c:strCache>
            </c:strRef>
          </c:cat>
          <c:val>
            <c:numRef>
              <c:f>Sheet1!$B$46:$B$55</c:f>
              <c:numCache>
                <c:formatCode>"$"#,##0</c:formatCode>
                <c:ptCount val="10"/>
                <c:pt idx="0">
                  <c:v>2222.2222222222222</c:v>
                </c:pt>
                <c:pt idx="1">
                  <c:v>8800</c:v>
                </c:pt>
                <c:pt idx="2">
                  <c:v>2222.2222222222222</c:v>
                </c:pt>
                <c:pt idx="3">
                  <c:v>4444.4444444444443</c:v>
                </c:pt>
                <c:pt idx="4">
                  <c:v>2000</c:v>
                </c:pt>
                <c:pt idx="5">
                  <c:v>300</c:v>
                </c:pt>
                <c:pt idx="6">
                  <c:v>144</c:v>
                </c:pt>
                <c:pt idx="7">
                  <c:v>0</c:v>
                </c:pt>
                <c:pt idx="8">
                  <c:v>15</c:v>
                </c:pt>
                <c:pt idx="9">
                  <c:v>20147.888888888891</c:v>
                </c:pt>
              </c:numCache>
            </c:numRef>
          </c:val>
          <c:extLst>
            <c:ext xmlns:c16="http://schemas.microsoft.com/office/drawing/2014/chart" uri="{C3380CC4-5D6E-409C-BE32-E72D297353CC}">
              <c16:uniqueId val="{00000000-2437-B244-A14A-A51C736D8830}"/>
            </c:ext>
          </c:extLst>
        </c:ser>
        <c:ser>
          <c:idx val="1"/>
          <c:order val="1"/>
          <c:spPr>
            <a:solidFill>
              <a:srgbClr val="C00000"/>
            </a:solidFill>
            <a:ln>
              <a:noFill/>
            </a:ln>
            <a:effectLst/>
          </c:spPr>
          <c:invertIfNegative val="0"/>
          <c:cat>
            <c:strRef>
              <c:f>Sheet1!$A$46:$A$55</c:f>
              <c:strCache>
                <c:ptCount val="10"/>
                <c:pt idx="0">
                  <c:v>Construction cost</c:v>
                </c:pt>
                <c:pt idx="1">
                  <c:v>Property tax on structure</c:v>
                </c:pt>
                <c:pt idx="2">
                  <c:v>Firestorm rebuild $ cost</c:v>
                </c:pt>
                <c:pt idx="3">
                  <c:v>Earthquake rebuild $ cost</c:v>
                </c:pt>
                <c:pt idx="4">
                  <c:v>Maintenance</c:v>
                </c:pt>
                <c:pt idx="5">
                  <c:v>Potable water</c:v>
                </c:pt>
                <c:pt idx="6">
                  <c:v>Electricity</c:v>
                </c:pt>
                <c:pt idx="7">
                  <c:v>Gas</c:v>
                </c:pt>
                <c:pt idx="8">
                  <c:v>Cancer from household toxin exposure</c:v>
                </c:pt>
                <c:pt idx="9">
                  <c:v>Total  cost/ person/ year</c:v>
                </c:pt>
              </c:strCache>
            </c:strRef>
          </c:cat>
          <c:val>
            <c:numRef>
              <c:f>Sheet1!$C$46:$C$55</c:f>
              <c:numCache>
                <c:formatCode>"$"#,##0</c:formatCode>
                <c:ptCount val="10"/>
                <c:pt idx="0">
                  <c:v>21296.296296296296</c:v>
                </c:pt>
                <c:pt idx="1">
                  <c:v>25300</c:v>
                </c:pt>
                <c:pt idx="2">
                  <c:v>25555.555555555555</c:v>
                </c:pt>
                <c:pt idx="3">
                  <c:v>8518.5185185185182</c:v>
                </c:pt>
                <c:pt idx="4">
                  <c:v>6900</c:v>
                </c:pt>
                <c:pt idx="5">
                  <c:v>1800</c:v>
                </c:pt>
                <c:pt idx="6">
                  <c:v>1008</c:v>
                </c:pt>
                <c:pt idx="7">
                  <c:v>504</c:v>
                </c:pt>
                <c:pt idx="8">
                  <c:v>100</c:v>
                </c:pt>
                <c:pt idx="9">
                  <c:v>90982.370370370365</c:v>
                </c:pt>
              </c:numCache>
            </c:numRef>
          </c:val>
          <c:extLst>
            <c:ext xmlns:c16="http://schemas.microsoft.com/office/drawing/2014/chart" uri="{C3380CC4-5D6E-409C-BE32-E72D297353CC}">
              <c16:uniqueId val="{00000001-2437-B244-A14A-A51C736D8830}"/>
            </c:ext>
          </c:extLst>
        </c:ser>
        <c:dLbls>
          <c:showLegendKey val="0"/>
          <c:showVal val="0"/>
          <c:showCatName val="0"/>
          <c:showSerName val="0"/>
          <c:showPercent val="0"/>
          <c:showBubbleSize val="0"/>
        </c:dLbls>
        <c:gapWidth val="40"/>
        <c:axId val="822575904"/>
        <c:axId val="822556368"/>
      </c:barChart>
      <c:catAx>
        <c:axId val="822575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22556368"/>
        <c:crosses val="autoZero"/>
        <c:auto val="1"/>
        <c:lblAlgn val="ctr"/>
        <c:lblOffset val="100"/>
        <c:noMultiLvlLbl val="0"/>
      </c:catAx>
      <c:valAx>
        <c:axId val="822556368"/>
        <c:scaling>
          <c:orientation val="minMax"/>
          <c:max val="9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22575904"/>
        <c:crosses val="autoZero"/>
        <c:crossBetween val="between"/>
      </c:valAx>
      <c:spPr>
        <a:noFill/>
        <a:ln>
          <a:noFill/>
        </a:ln>
        <a:effectLst/>
      </c:spPr>
    </c:plotArea>
    <c:legend>
      <c:legendPos val="b"/>
      <c:layout>
        <c:manualLayout>
          <c:xMode val="edge"/>
          <c:yMode val="edge"/>
          <c:x val="0.43372318582585967"/>
          <c:y val="3.0853087663828872E-2"/>
          <c:w val="6.2750421497822853E-2"/>
          <c:h val="9.949309767671428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6FEDC"/>
    </a:solidFill>
    <a:ln w="25400" cap="flat" cmpd="sng" algn="ctr">
      <a:solidFill>
        <a:srgbClr val="0070C0"/>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101602</xdr:colOff>
      <xdr:row>0</xdr:row>
      <xdr:rowOff>88904</xdr:rowOff>
    </xdr:from>
    <xdr:to>
      <xdr:col>5</xdr:col>
      <xdr:colOff>1836615</xdr:colOff>
      <xdr:row>22</xdr:row>
      <xdr:rowOff>97692</xdr:rowOff>
    </xdr:to>
    <xdr:graphicFrame macro="">
      <xdr:nvGraphicFramePr>
        <xdr:cNvPr id="2" name="Chart 1">
          <a:extLst>
            <a:ext uri="{FF2B5EF4-FFF2-40B4-BE49-F238E27FC236}">
              <a16:creationId xmlns:a16="http://schemas.microsoft.com/office/drawing/2014/main" id="{6F955483-FC23-074D-821B-4F3CFF133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0.01125</cdr:x>
      <cdr:y>0.01604</cdr:y>
    </cdr:from>
    <cdr:to>
      <cdr:x>0.50345</cdr:x>
      <cdr:y>0.18125</cdr:y>
    </cdr:to>
    <cdr:sp macro="" textlink="">
      <cdr:nvSpPr>
        <cdr:cNvPr id="2" name="Rectangle 1">
          <a:extLst xmlns:a="http://schemas.openxmlformats.org/drawingml/2006/main">
            <a:ext uri="{FF2B5EF4-FFF2-40B4-BE49-F238E27FC236}">
              <a16:creationId xmlns:a16="http://schemas.microsoft.com/office/drawing/2014/main" id="{FE732D82-D0AE-4EF8-3915-AB94D80761A5}"/>
            </a:ext>
          </a:extLst>
        </cdr:cNvPr>
        <cdr:cNvSpPr/>
      </cdr:nvSpPr>
      <cdr:spPr>
        <a:xfrm xmlns:a="http://schemas.openxmlformats.org/drawingml/2006/main">
          <a:off x="105134" y="72536"/>
          <a:ext cx="4599726" cy="747098"/>
        </a:xfrm>
        <a:prstGeom xmlns:a="http://schemas.openxmlformats.org/drawingml/2006/main" prst="rect">
          <a:avLst/>
        </a:prstGeom>
        <a:noFill xmlns:a="http://schemas.openxmlformats.org/drawingml/2006/main"/>
        <a:ln xmlns:a="http://schemas.openxmlformats.org/drawingml/2006/main" w="25400">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oasisdesign.net/shelter/safetycottage/" TargetMode="External"/><Relationship Id="rId1" Type="http://schemas.openxmlformats.org/officeDocument/2006/relationships/hyperlink" Target="https://oasisdesign.net/design/legalizesustaina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3FD7E-F453-B849-889B-3D88C6735AB8}">
  <dimension ref="A37:BO79"/>
  <sheetViews>
    <sheetView tabSelected="1" topLeftCell="A22" zoomScale="130" zoomScaleNormal="130" workbookViewId="0">
      <selection activeCell="C26" sqref="C26"/>
    </sheetView>
  </sheetViews>
  <sheetFormatPr baseColWidth="10" defaultRowHeight="16" x14ac:dyDescent="0.2"/>
  <cols>
    <col min="1" max="1" width="42.1640625" customWidth="1"/>
    <col min="2" max="2" width="13.33203125" bestFit="1" customWidth="1"/>
    <col min="3" max="3" width="12.5" customWidth="1"/>
    <col min="4" max="4" width="16.83203125" style="27" customWidth="1"/>
    <col min="5" max="5" width="15" style="28" customWidth="1"/>
    <col min="6" max="6" width="116.1640625" style="52" customWidth="1"/>
  </cols>
  <sheetData>
    <row r="37" spans="1:67" x14ac:dyDescent="0.2">
      <c r="A37" s="51" t="s">
        <v>37</v>
      </c>
    </row>
    <row r="38" spans="1:67" x14ac:dyDescent="0.2">
      <c r="A38" s="29" t="s">
        <v>38</v>
      </c>
    </row>
    <row r="39" spans="1:67" x14ac:dyDescent="0.2">
      <c r="A39" s="29" t="s">
        <v>39</v>
      </c>
    </row>
    <row r="40" spans="1:67" x14ac:dyDescent="0.2">
      <c r="A40" s="29"/>
    </row>
    <row r="41" spans="1:67" x14ac:dyDescent="0.2">
      <c r="A41" s="51" t="s">
        <v>45</v>
      </c>
    </row>
    <row r="42" spans="1:67" x14ac:dyDescent="0.2">
      <c r="A42" s="29" t="s">
        <v>56</v>
      </c>
    </row>
    <row r="43" spans="1:67" x14ac:dyDescent="0.2">
      <c r="A43" s="29" t="s">
        <v>57</v>
      </c>
    </row>
    <row r="44" spans="1:67" x14ac:dyDescent="0.2">
      <c r="A44" s="51" t="s">
        <v>46</v>
      </c>
    </row>
    <row r="45" spans="1:67" ht="38" x14ac:dyDescent="0.2">
      <c r="A45" s="34" t="s">
        <v>40</v>
      </c>
      <c r="B45" s="35" t="s">
        <v>30</v>
      </c>
      <c r="C45" s="35" t="s">
        <v>31</v>
      </c>
      <c r="D45" s="36" t="s">
        <v>29</v>
      </c>
      <c r="E45" s="37" t="s">
        <v>28</v>
      </c>
      <c r="F45" s="53" t="s">
        <v>43</v>
      </c>
    </row>
    <row r="46" spans="1:67" ht="19" x14ac:dyDescent="0.2">
      <c r="A46" s="38" t="s">
        <v>3</v>
      </c>
      <c r="B46" s="45">
        <f>B60/(B63*B66)</f>
        <v>2222.2222222222222</v>
      </c>
      <c r="C46" s="46">
        <f>C60/(C63*C66)</f>
        <v>21296.296296296296</v>
      </c>
      <c r="D46" s="39">
        <f t="shared" ref="D46:D53" si="0">B46/C46</f>
        <v>0.10434782608695652</v>
      </c>
      <c r="E46" s="40">
        <f t="shared" ref="E46:E53" si="1">C46/B46</f>
        <v>9.5833333333333339</v>
      </c>
      <c r="F46" s="52" t="s">
        <v>49</v>
      </c>
    </row>
    <row r="47" spans="1:67" ht="19" x14ac:dyDescent="0.2">
      <c r="A47" s="38" t="s">
        <v>21</v>
      </c>
      <c r="B47" s="45">
        <f>B60*0.011</f>
        <v>8800</v>
      </c>
      <c r="C47" s="46">
        <f>C60*0.011</f>
        <v>25300</v>
      </c>
      <c r="D47" s="39">
        <f t="shared" si="0"/>
        <v>0.34782608695652173</v>
      </c>
      <c r="E47" s="40">
        <f t="shared" si="1"/>
        <v>2.875</v>
      </c>
      <c r="F47" s="52" t="s">
        <v>48</v>
      </c>
    </row>
    <row r="48" spans="1:67" s="16" customFormat="1" ht="19" x14ac:dyDescent="0.2">
      <c r="A48" s="41" t="s">
        <v>8</v>
      </c>
      <c r="B48" s="45">
        <f>B$60/B74/B$63</f>
        <v>2222.2222222222222</v>
      </c>
      <c r="C48" s="46">
        <f>C$60/C74/C$63</f>
        <v>25555.555555555555</v>
      </c>
      <c r="D48" s="39">
        <f t="shared" si="0"/>
        <v>8.6956521739130432E-2</v>
      </c>
      <c r="E48" s="40">
        <f t="shared" si="1"/>
        <v>11.5</v>
      </c>
      <c r="F48" s="52" t="s">
        <v>50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row>
    <row r="49" spans="1:67" ht="19" x14ac:dyDescent="0.2">
      <c r="A49" s="38" t="s">
        <v>9</v>
      </c>
      <c r="B49" s="45">
        <f>B$60/B76/B$63</f>
        <v>4444.4444444444443</v>
      </c>
      <c r="C49" s="46">
        <f>C$60/C76/C$63</f>
        <v>8518.5185185185182</v>
      </c>
      <c r="D49" s="39">
        <f t="shared" si="0"/>
        <v>0.52173913043478259</v>
      </c>
      <c r="E49" s="40">
        <f t="shared" si="1"/>
        <v>1.9166666666666667</v>
      </c>
      <c r="F49" s="52" t="s">
        <v>51</v>
      </c>
    </row>
    <row r="50" spans="1:67" ht="34" x14ac:dyDescent="0.2">
      <c r="A50" s="38" t="s">
        <v>18</v>
      </c>
      <c r="B50" s="47">
        <f>B61*5</f>
        <v>2000</v>
      </c>
      <c r="C50" s="48">
        <f>C61*3</f>
        <v>6900</v>
      </c>
      <c r="D50" s="39">
        <f t="shared" si="0"/>
        <v>0.28985507246376813</v>
      </c>
      <c r="E50" s="40">
        <f t="shared" si="1"/>
        <v>3.45</v>
      </c>
      <c r="F50" s="52" t="s">
        <v>52</v>
      </c>
    </row>
    <row r="51" spans="1:67" ht="34" x14ac:dyDescent="0.2">
      <c r="A51" s="38" t="s">
        <v>10</v>
      </c>
      <c r="B51" s="47">
        <f>25*12</f>
        <v>300</v>
      </c>
      <c r="C51" s="48">
        <f>B51*6</f>
        <v>1800</v>
      </c>
      <c r="D51" s="39">
        <f t="shared" si="0"/>
        <v>0.16666666666666666</v>
      </c>
      <c r="E51" s="40">
        <f t="shared" si="1"/>
        <v>6</v>
      </c>
      <c r="F51" s="52" t="s">
        <v>53</v>
      </c>
    </row>
    <row r="52" spans="1:67" ht="34" x14ac:dyDescent="0.2">
      <c r="A52" s="38" t="s">
        <v>11</v>
      </c>
      <c r="B52" s="47">
        <f>12*12</f>
        <v>144</v>
      </c>
      <c r="C52" s="48">
        <f>B52*7</f>
        <v>1008</v>
      </c>
      <c r="D52" s="39">
        <f t="shared" si="0"/>
        <v>0.14285714285714285</v>
      </c>
      <c r="E52" s="40">
        <f t="shared" si="1"/>
        <v>7</v>
      </c>
      <c r="F52" s="52" t="s">
        <v>53</v>
      </c>
    </row>
    <row r="53" spans="1:67" ht="19" x14ac:dyDescent="0.2">
      <c r="A53" s="38" t="s">
        <v>17</v>
      </c>
      <c r="B53" s="47">
        <v>0</v>
      </c>
      <c r="C53" s="48">
        <f>C52/2</f>
        <v>504</v>
      </c>
      <c r="D53" s="39">
        <f t="shared" si="0"/>
        <v>0</v>
      </c>
      <c r="E53" s="40" t="e">
        <f t="shared" si="1"/>
        <v>#DIV/0!</v>
      </c>
      <c r="F53" s="52" t="s">
        <v>32</v>
      </c>
    </row>
    <row r="54" spans="1:67" ht="34" x14ac:dyDescent="0.2">
      <c r="A54" s="38" t="s">
        <v>70</v>
      </c>
      <c r="B54" s="47">
        <f>C54*0.15</f>
        <v>15</v>
      </c>
      <c r="C54" s="48">
        <f>500000*(200/1000000)</f>
        <v>100</v>
      </c>
      <c r="D54" s="39">
        <f t="shared" ref="D54:D55" si="2">B54/C54</f>
        <v>0.15</v>
      </c>
      <c r="E54" s="40">
        <f t="shared" ref="E54:E55" si="3">C54/B54</f>
        <v>6.666666666666667</v>
      </c>
      <c r="F54" s="56" t="s">
        <v>54</v>
      </c>
    </row>
    <row r="55" spans="1:67" s="19" customFormat="1" ht="19" x14ac:dyDescent="0.2">
      <c r="A55" s="42" t="s">
        <v>22</v>
      </c>
      <c r="B55" s="49">
        <f>SUM(B46:B54)</f>
        <v>20147.888888888891</v>
      </c>
      <c r="C55" s="50">
        <f>SUM(C46:C54)</f>
        <v>90982.370370370365</v>
      </c>
      <c r="D55" s="43">
        <f t="shared" si="2"/>
        <v>0.22144827406530532</v>
      </c>
      <c r="E55" s="44">
        <f t="shared" si="3"/>
        <v>4.5157272244311963</v>
      </c>
      <c r="F55" s="53" t="s">
        <v>47</v>
      </c>
      <c r="G55"/>
      <c r="H55"/>
      <c r="I55"/>
      <c r="J55"/>
      <c r="K55"/>
      <c r="L55"/>
      <c r="M55"/>
      <c r="N55"/>
      <c r="O55"/>
      <c r="P55"/>
      <c r="Q55"/>
      <c r="R55"/>
      <c r="S55"/>
      <c r="T55"/>
      <c r="U55"/>
      <c r="V55"/>
      <c r="W55"/>
      <c r="X55"/>
      <c r="Y55"/>
      <c r="Z55"/>
      <c r="AA55"/>
      <c r="AB55"/>
      <c r="AC55"/>
      <c r="AD55"/>
      <c r="AE55"/>
      <c r="AF55"/>
      <c r="AG55"/>
      <c r="AH55"/>
      <c r="AI55"/>
      <c r="AJ55"/>
      <c r="AK55"/>
      <c r="AL55"/>
      <c r="AM55"/>
      <c r="AN55"/>
    </row>
    <row r="56" spans="1:67" ht="18" x14ac:dyDescent="0.2">
      <c r="A56" s="12"/>
      <c r="B56" s="4"/>
      <c r="C56" s="4"/>
      <c r="D56" s="22"/>
      <c r="E56" s="23"/>
    </row>
    <row r="57" spans="1:67" x14ac:dyDescent="0.2">
      <c r="A57" s="29" t="s">
        <v>68</v>
      </c>
    </row>
    <row r="58" spans="1:67" x14ac:dyDescent="0.2">
      <c r="A58" s="29" t="s">
        <v>67</v>
      </c>
    </row>
    <row r="59" spans="1:67" ht="34" x14ac:dyDescent="0.2">
      <c r="A59" s="1"/>
      <c r="B59" s="2" t="s">
        <v>0</v>
      </c>
      <c r="C59" s="2" t="s">
        <v>1</v>
      </c>
      <c r="D59" s="20" t="s">
        <v>14</v>
      </c>
      <c r="E59" s="21" t="s">
        <v>15</v>
      </c>
    </row>
    <row r="60" spans="1:67" s="16" customFormat="1" ht="19" x14ac:dyDescent="0.2">
      <c r="A60" s="3" t="s">
        <v>3</v>
      </c>
      <c r="B60" s="30">
        <f>B61*B62</f>
        <v>800000</v>
      </c>
      <c r="C60" s="30">
        <f>C61*C62</f>
        <v>2300000</v>
      </c>
      <c r="D60" s="22">
        <f>B60/C60</f>
        <v>0.34782608695652173</v>
      </c>
      <c r="E60" s="23">
        <f>C60/B60</f>
        <v>2.875</v>
      </c>
      <c r="F60" s="52" t="s">
        <v>55</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row>
    <row r="61" spans="1:67" s="18" customFormat="1" ht="34" x14ac:dyDescent="0.2">
      <c r="A61" s="7" t="s">
        <v>24</v>
      </c>
      <c r="B61" s="8">
        <v>400</v>
      </c>
      <c r="C61" s="8">
        <v>2300</v>
      </c>
      <c r="D61" s="22">
        <f t="shared" ref="D61:D67" si="4">B61/C61</f>
        <v>0.17391304347826086</v>
      </c>
      <c r="E61" s="23">
        <f t="shared" ref="E61:E67" si="5">C61/B61</f>
        <v>5.75</v>
      </c>
      <c r="F61" s="52" t="s">
        <v>60</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row>
    <row r="62" spans="1:67" s="18" customFormat="1" ht="51" x14ac:dyDescent="0.2">
      <c r="A62" s="7" t="s">
        <v>25</v>
      </c>
      <c r="B62" s="8">
        <v>2000</v>
      </c>
      <c r="C62" s="8">
        <v>1000</v>
      </c>
      <c r="D62" s="22">
        <f t="shared" si="4"/>
        <v>2</v>
      </c>
      <c r="E62" s="23">
        <f t="shared" si="5"/>
        <v>0.5</v>
      </c>
      <c r="F62" s="52" t="s">
        <v>61</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row>
    <row r="63" spans="1:67" s="17" customFormat="1" ht="19" x14ac:dyDescent="0.2">
      <c r="A63" s="5" t="s">
        <v>4</v>
      </c>
      <c r="B63" s="6">
        <v>1.8</v>
      </c>
      <c r="C63" s="6">
        <v>1.8</v>
      </c>
      <c r="D63" s="22">
        <f>B63/C63</f>
        <v>1</v>
      </c>
      <c r="E63" s="23">
        <f>C63/B63</f>
        <v>1</v>
      </c>
      <c r="F63" s="52" t="s">
        <v>41</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row>
    <row r="64" spans="1:67" s="18" customFormat="1" ht="51" x14ac:dyDescent="0.2">
      <c r="A64" s="7" t="s">
        <v>26</v>
      </c>
      <c r="B64" s="31">
        <f>B61/B63</f>
        <v>222.22222222222223</v>
      </c>
      <c r="C64" s="31">
        <f>C61/C63</f>
        <v>1277.7777777777778</v>
      </c>
      <c r="D64" s="22">
        <f>B64/C64</f>
        <v>0.17391304347826086</v>
      </c>
      <c r="E64" s="23">
        <f t="shared" si="5"/>
        <v>5.75</v>
      </c>
      <c r="F64" s="54" t="s">
        <v>42</v>
      </c>
      <c r="G64" s="33"/>
      <c r="H64" s="33"/>
      <c r="I64" s="33"/>
      <c r="J64" s="33"/>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row>
    <row r="65" spans="1:67" s="18" customFormat="1" ht="19" x14ac:dyDescent="0.2">
      <c r="A65" s="7" t="s">
        <v>5</v>
      </c>
      <c r="B65" s="4">
        <f>B60/B63</f>
        <v>444444.44444444444</v>
      </c>
      <c r="C65" s="4">
        <f>C60/C63</f>
        <v>1277777.7777777778</v>
      </c>
      <c r="D65" s="22">
        <f t="shared" si="4"/>
        <v>0.34782608695652173</v>
      </c>
      <c r="E65" s="23">
        <f t="shared" si="5"/>
        <v>2.875</v>
      </c>
      <c r="F65" s="52" t="s">
        <v>59</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row>
    <row r="66" spans="1:67" s="18" customFormat="1" ht="68" x14ac:dyDescent="0.2">
      <c r="A66" s="7" t="s">
        <v>6</v>
      </c>
      <c r="B66" s="32">
        <v>200</v>
      </c>
      <c r="C66" s="32">
        <v>60</v>
      </c>
      <c r="D66" s="22">
        <f t="shared" si="4"/>
        <v>3.3333333333333335</v>
      </c>
      <c r="E66" s="23">
        <f t="shared" si="5"/>
        <v>0.3</v>
      </c>
      <c r="F66" s="55" t="s">
        <v>58</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row>
    <row r="67" spans="1:67" s="18" customFormat="1" ht="19" x14ac:dyDescent="0.2">
      <c r="A67" s="7" t="s">
        <v>7</v>
      </c>
      <c r="B67" s="8">
        <v>1000</v>
      </c>
      <c r="C67" s="8">
        <v>60000</v>
      </c>
      <c r="D67" s="22">
        <f t="shared" si="4"/>
        <v>1.6666666666666666E-2</v>
      </c>
      <c r="E67" s="23">
        <f t="shared" si="5"/>
        <v>60</v>
      </c>
      <c r="F67" s="52" t="s">
        <v>33</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row>
    <row r="68" spans="1:67" s="16" customFormat="1" ht="19" x14ac:dyDescent="0.2">
      <c r="A68" s="63" t="s">
        <v>23</v>
      </c>
      <c r="B68" s="8">
        <f>((B61^0.5)+0.8)^2</f>
        <v>432.64000000000004</v>
      </c>
      <c r="C68" s="9">
        <f>((C61^0.5)+0.8)^2</f>
        <v>2377.3733043730031</v>
      </c>
      <c r="D68" s="22"/>
      <c r="E68" s="23"/>
      <c r="F68" s="52" t="s">
        <v>27</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row>
    <row r="69" spans="1:67" s="18" customFormat="1" ht="34" x14ac:dyDescent="0.2">
      <c r="A69" s="64" t="s">
        <v>34</v>
      </c>
      <c r="B69" s="8">
        <f>((B68^0.5)+14)^2</f>
        <v>1211.0399999999997</v>
      </c>
      <c r="C69" s="8">
        <f>((C68^0.5)+14)^2</f>
        <v>3938.6061309005645</v>
      </c>
      <c r="D69" s="22"/>
      <c r="E69" s="23"/>
      <c r="F69" s="52" t="s">
        <v>36</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row>
    <row r="70" spans="1:67" s="18" customFormat="1" ht="19" x14ac:dyDescent="0.2">
      <c r="A70" s="64" t="s">
        <v>35</v>
      </c>
      <c r="B70" s="8">
        <v>150</v>
      </c>
      <c r="C70" s="8">
        <v>150</v>
      </c>
      <c r="D70" s="22"/>
      <c r="E70" s="23"/>
      <c r="F70" s="52" t="s">
        <v>62</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row>
    <row r="71" spans="1:67" s="61" customFormat="1" ht="51" x14ac:dyDescent="0.2">
      <c r="A71" s="65" t="s">
        <v>44</v>
      </c>
      <c r="B71" s="57">
        <f>B69*B70</f>
        <v>181655.99999999997</v>
      </c>
      <c r="C71" s="57">
        <f>C69*C70</f>
        <v>590790.91963508469</v>
      </c>
      <c r="D71" s="58"/>
      <c r="E71" s="59"/>
      <c r="F71" s="60" t="s">
        <v>63</v>
      </c>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row>
    <row r="72" spans="1:67" s="18" customFormat="1" ht="18" x14ac:dyDescent="0.2">
      <c r="A72" s="10"/>
      <c r="B72" s="11"/>
      <c r="C72" s="11"/>
      <c r="D72" s="24"/>
      <c r="E72" s="21"/>
      <c r="F72" s="5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row>
    <row r="73" spans="1:67" ht="19" x14ac:dyDescent="0.2">
      <c r="A73" s="12"/>
      <c r="B73" s="4"/>
      <c r="C73" s="4"/>
      <c r="D73" s="25" t="s">
        <v>2</v>
      </c>
      <c r="E73" s="26"/>
    </row>
    <row r="74" spans="1:67" ht="51" x14ac:dyDescent="0.2">
      <c r="A74" s="1" t="s">
        <v>19</v>
      </c>
      <c r="B74" s="13">
        <v>200</v>
      </c>
      <c r="C74" s="13">
        <v>50</v>
      </c>
      <c r="D74" s="20"/>
      <c r="E74" s="21"/>
      <c r="F74" s="52" t="s">
        <v>64</v>
      </c>
    </row>
    <row r="75" spans="1:67" ht="51" x14ac:dyDescent="0.2">
      <c r="A75" s="62" t="s">
        <v>16</v>
      </c>
      <c r="B75" s="15">
        <v>500</v>
      </c>
      <c r="C75" s="15">
        <v>3000</v>
      </c>
      <c r="D75" s="25" t="s">
        <v>12</v>
      </c>
      <c r="E75" s="26"/>
      <c r="F75" s="52" t="s">
        <v>65</v>
      </c>
    </row>
    <row r="76" spans="1:67" ht="34" x14ac:dyDescent="0.2">
      <c r="A76" s="1" t="s">
        <v>20</v>
      </c>
      <c r="B76" s="13">
        <v>100</v>
      </c>
      <c r="C76" s="13">
        <v>150</v>
      </c>
      <c r="D76" s="20"/>
      <c r="E76" s="21"/>
      <c r="F76" s="56" t="s">
        <v>66</v>
      </c>
    </row>
    <row r="78" spans="1:67" ht="34" x14ac:dyDescent="0.2">
      <c r="A78" s="62" t="s">
        <v>13</v>
      </c>
      <c r="B78" s="15">
        <f>150*1/C63</f>
        <v>83.333333333333329</v>
      </c>
      <c r="C78" s="15">
        <f>150*12/C63</f>
        <v>1000</v>
      </c>
      <c r="D78" s="25" t="s">
        <v>12</v>
      </c>
      <c r="E78" s="26"/>
      <c r="F78" s="52" t="s">
        <v>69</v>
      </c>
    </row>
    <row r="79" spans="1:67" ht="18" x14ac:dyDescent="0.2">
      <c r="A79" s="12"/>
      <c r="B79" s="14"/>
      <c r="C79" s="14"/>
      <c r="D79" s="25"/>
      <c r="E79" s="26"/>
    </row>
  </sheetData>
  <hyperlinks>
    <hyperlink ref="F54" r:id="rId1" location="safer" display="Estimate. Based on a rough but informed estimate of the % of cancers caused by toxins in building products. The lives lost cost is roughly 300 per million per year." xr:uid="{9D8F12CE-7BEA-EE4E-BF4A-087449F66B10}"/>
    <hyperlink ref="F76" r:id="rId2" location="seismic" xr:uid="{ED3F4B75-9D17-1543-B406-00F36A2F996A}"/>
  </hyperlinks>
  <pageMargins left="0.7" right="0.7" top="0.75" bottom="0.75" header="0.3" footer="0.3"/>
  <pageSetup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 Ludwig</dc:creator>
  <cp:lastModifiedBy>Art Ludwig</cp:lastModifiedBy>
  <dcterms:created xsi:type="dcterms:W3CDTF">2022-06-17T22:08:46Z</dcterms:created>
  <dcterms:modified xsi:type="dcterms:W3CDTF">2022-06-22T04:29:37Z</dcterms:modified>
</cp:coreProperties>
</file>